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ach\Documents\Courses\econ_366_w23\slides\elec\"/>
    </mc:Choice>
  </mc:AlternateContent>
  <bookViews>
    <workbookView xWindow="0" yWindow="0" windowWidth="32910" windowHeight="14800" activeTab="1"/>
  </bookViews>
  <sheets>
    <sheet name="Solar" sheetId="3" r:id="rId1"/>
    <sheet name="NGCC" sheetId="2" r:id="rId2"/>
    <sheet name="Sheet1" sheetId="1" r:id="rId3"/>
  </sheets>
  <definedNames>
    <definedName name="solver_adj" localSheetId="1" hidden="1">NGCC!$B$31</definedName>
    <definedName name="solver_adj" localSheetId="2" hidden="1">Sheet1!$B$21</definedName>
    <definedName name="solver_adj" localSheetId="0" hidden="1">Solar!$B$32</definedName>
    <definedName name="solver_cvg" localSheetId="1" hidden="1">0.0001</definedName>
    <definedName name="solver_cvg" localSheetId="2" hidden="1">0.0001</definedName>
    <definedName name="solver_cvg" localSheetId="0" hidden="1">0.0001</definedName>
    <definedName name="solver_drv" localSheetId="1" hidden="1">1</definedName>
    <definedName name="solver_drv" localSheetId="2" hidden="1">1</definedName>
    <definedName name="solver_drv" localSheetId="0" hidden="1">1</definedName>
    <definedName name="solver_eng" localSheetId="1" hidden="1">1</definedName>
    <definedName name="solver_eng" localSheetId="2" hidden="1">1</definedName>
    <definedName name="solver_eng" localSheetId="0" hidden="1">1</definedName>
    <definedName name="solver_est" localSheetId="1" hidden="1">1</definedName>
    <definedName name="solver_est" localSheetId="2" hidden="1">1</definedName>
    <definedName name="solver_est" localSheetId="0" hidden="1">1</definedName>
    <definedName name="solver_itr" localSheetId="1" hidden="1">2147483647</definedName>
    <definedName name="solver_itr" localSheetId="2" hidden="1">2147483647</definedName>
    <definedName name="solver_itr" localSheetId="0" hidden="1">2147483647</definedName>
    <definedName name="solver_mip" localSheetId="1" hidden="1">2147483647</definedName>
    <definedName name="solver_mip" localSheetId="2" hidden="1">2147483647</definedName>
    <definedName name="solver_mip" localSheetId="0" hidden="1">2147483647</definedName>
    <definedName name="solver_mni" localSheetId="1" hidden="1">30</definedName>
    <definedName name="solver_mni" localSheetId="2" hidden="1">30</definedName>
    <definedName name="solver_mni" localSheetId="0" hidden="1">30</definedName>
    <definedName name="solver_mrt" localSheetId="1" hidden="1">0.075</definedName>
    <definedName name="solver_mrt" localSheetId="2" hidden="1">0.075</definedName>
    <definedName name="solver_mrt" localSheetId="0" hidden="1">0.075</definedName>
    <definedName name="solver_msl" localSheetId="1" hidden="1">2</definedName>
    <definedName name="solver_msl" localSheetId="2" hidden="1">2</definedName>
    <definedName name="solver_msl" localSheetId="0" hidden="1">2</definedName>
    <definedName name="solver_neg" localSheetId="1" hidden="1">1</definedName>
    <definedName name="solver_neg" localSheetId="2" hidden="1">1</definedName>
    <definedName name="solver_neg" localSheetId="0" hidden="1">1</definedName>
    <definedName name="solver_nod" localSheetId="1" hidden="1">2147483647</definedName>
    <definedName name="solver_nod" localSheetId="2" hidden="1">2147483647</definedName>
    <definedName name="solver_nod" localSheetId="0" hidden="1">2147483647</definedName>
    <definedName name="solver_num" localSheetId="1" hidden="1">0</definedName>
    <definedName name="solver_num" localSheetId="2" hidden="1">0</definedName>
    <definedName name="solver_num" localSheetId="0" hidden="1">0</definedName>
    <definedName name="solver_nwt" localSheetId="1" hidden="1">1</definedName>
    <definedName name="solver_nwt" localSheetId="2" hidden="1">1</definedName>
    <definedName name="solver_nwt" localSheetId="0" hidden="1">1</definedName>
    <definedName name="solver_opt" localSheetId="1" hidden="1">NGCC!$E$34</definedName>
    <definedName name="solver_opt" localSheetId="2" hidden="1">Sheet1!$E$29</definedName>
    <definedName name="solver_opt" localSheetId="0" hidden="1">Solar!$E$30</definedName>
    <definedName name="solver_pre" localSheetId="1" hidden="1">0.000001</definedName>
    <definedName name="solver_pre" localSheetId="2" hidden="1">0.000001</definedName>
    <definedName name="solver_pre" localSheetId="0" hidden="1">0.000001</definedName>
    <definedName name="solver_rbv" localSheetId="1" hidden="1">1</definedName>
    <definedName name="solver_rbv" localSheetId="2" hidden="1">1</definedName>
    <definedName name="solver_rbv" localSheetId="0" hidden="1">1</definedName>
    <definedName name="solver_rlx" localSheetId="1" hidden="1">2</definedName>
    <definedName name="solver_rlx" localSheetId="2" hidden="1">2</definedName>
    <definedName name="solver_rlx" localSheetId="0" hidden="1">2</definedName>
    <definedName name="solver_rsd" localSheetId="1" hidden="1">0</definedName>
    <definedName name="solver_rsd" localSheetId="2" hidden="1">0</definedName>
    <definedName name="solver_rsd" localSheetId="0" hidden="1">0</definedName>
    <definedName name="solver_scl" localSheetId="1" hidden="1">1</definedName>
    <definedName name="solver_scl" localSheetId="2" hidden="1">1</definedName>
    <definedName name="solver_scl" localSheetId="0" hidden="1">1</definedName>
    <definedName name="solver_sho" localSheetId="1" hidden="1">2</definedName>
    <definedName name="solver_sho" localSheetId="2" hidden="1">2</definedName>
    <definedName name="solver_sho" localSheetId="0" hidden="1">2</definedName>
    <definedName name="solver_ssz" localSheetId="1" hidden="1">100</definedName>
    <definedName name="solver_ssz" localSheetId="2" hidden="1">100</definedName>
    <definedName name="solver_ssz" localSheetId="0" hidden="1">100</definedName>
    <definedName name="solver_tim" localSheetId="1" hidden="1">2147483647</definedName>
    <definedName name="solver_tim" localSheetId="2" hidden="1">2147483647</definedName>
    <definedName name="solver_tim" localSheetId="0" hidden="1">2147483647</definedName>
    <definedName name="solver_tol" localSheetId="1" hidden="1">0.01</definedName>
    <definedName name="solver_tol" localSheetId="2" hidden="1">0.01</definedName>
    <definedName name="solver_tol" localSheetId="0" hidden="1">0.01</definedName>
    <definedName name="solver_typ" localSheetId="1" hidden="1">3</definedName>
    <definedName name="solver_typ" localSheetId="2" hidden="1">3</definedName>
    <definedName name="solver_typ" localSheetId="0" hidden="1">3</definedName>
    <definedName name="solver_val" localSheetId="1" hidden="1">0.12</definedName>
    <definedName name="solver_val" localSheetId="2" hidden="1">0.12</definedName>
    <definedName name="solver_val" localSheetId="0" hidden="1">0.12</definedName>
    <definedName name="solver_ver" localSheetId="1" hidden="1">3</definedName>
    <definedName name="solver_ver" localSheetId="2" hidden="1">3</definedName>
    <definedName name="solver_ver" localSheetId="0" hidden="1">3</definedName>
  </definedNames>
  <calcPr calcId="162913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2" i="2" l="1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E43" i="2" s="1"/>
  <c r="G42" i="2"/>
  <c r="F42" i="2"/>
  <c r="E42" i="2"/>
  <c r="E40" i="2"/>
  <c r="E37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20" i="2"/>
  <c r="E19" i="2"/>
  <c r="AA8" i="2"/>
  <c r="Z8" i="2"/>
  <c r="AA6" i="2"/>
  <c r="Z6" i="2"/>
  <c r="Y6" i="2"/>
  <c r="Y8" i="2" s="1"/>
  <c r="X6" i="2"/>
  <c r="X8" i="2" s="1"/>
  <c r="W6" i="2"/>
  <c r="W8" i="2" s="1"/>
  <c r="V6" i="2"/>
  <c r="V8" i="2" s="1"/>
  <c r="U6" i="2"/>
  <c r="U8" i="2" s="1"/>
  <c r="T6" i="2"/>
  <c r="T8" i="2" s="1"/>
  <c r="S6" i="2"/>
  <c r="S8" i="2" s="1"/>
  <c r="R6" i="2"/>
  <c r="R8" i="2" s="1"/>
  <c r="Q6" i="2"/>
  <c r="Q8" i="2" s="1"/>
  <c r="P6" i="2"/>
  <c r="P8" i="2" s="1"/>
  <c r="O6" i="2"/>
  <c r="O8" i="2" s="1"/>
  <c r="N6" i="2"/>
  <c r="N8" i="2" s="1"/>
  <c r="M6" i="2"/>
  <c r="M8" i="2" s="1"/>
  <c r="L6" i="2"/>
  <c r="L8" i="2" s="1"/>
  <c r="K6" i="2"/>
  <c r="K8" i="2" s="1"/>
  <c r="J6" i="2"/>
  <c r="J8" i="2" s="1"/>
  <c r="I6" i="2"/>
  <c r="I8" i="2" s="1"/>
  <c r="H6" i="2"/>
  <c r="H8" i="2" s="1"/>
  <c r="G6" i="2"/>
  <c r="G8" i="2" s="1"/>
  <c r="F6" i="2"/>
  <c r="F8" i="2" s="1"/>
  <c r="E6" i="2"/>
  <c r="E8" i="2" s="1"/>
  <c r="B29" i="3"/>
  <c r="B26" i="3"/>
  <c r="H20" i="3"/>
  <c r="H19" i="3"/>
  <c r="G17" i="3"/>
  <c r="F17" i="3"/>
  <c r="B15" i="3"/>
  <c r="B16" i="3" s="1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B13" i="3"/>
  <c r="AA12" i="3"/>
  <c r="Z12" i="3"/>
  <c r="Y12" i="3"/>
  <c r="X12" i="3"/>
  <c r="G12" i="3"/>
  <c r="F12" i="3"/>
  <c r="E12" i="3"/>
  <c r="AA11" i="3"/>
  <c r="Z11" i="3"/>
  <c r="Y11" i="3"/>
  <c r="X11" i="3"/>
  <c r="W11" i="3"/>
  <c r="W12" i="3" s="1"/>
  <c r="V11" i="3"/>
  <c r="V12" i="3" s="1"/>
  <c r="U11" i="3"/>
  <c r="U12" i="3" s="1"/>
  <c r="T11" i="3"/>
  <c r="T12" i="3" s="1"/>
  <c r="S11" i="3"/>
  <c r="S12" i="3" s="1"/>
  <c r="R11" i="3"/>
  <c r="R12" i="3" s="1"/>
  <c r="Q11" i="3"/>
  <c r="Q12" i="3" s="1"/>
  <c r="P11" i="3"/>
  <c r="P12" i="3" s="1"/>
  <c r="O11" i="3"/>
  <c r="O12" i="3" s="1"/>
  <c r="N11" i="3"/>
  <c r="N12" i="3" s="1"/>
  <c r="M11" i="3"/>
  <c r="M12" i="3" s="1"/>
  <c r="L11" i="3"/>
  <c r="L12" i="3" s="1"/>
  <c r="K11" i="3"/>
  <c r="K12" i="3" s="1"/>
  <c r="J11" i="3"/>
  <c r="J12" i="3" s="1"/>
  <c r="I11" i="3"/>
  <c r="I12" i="3" s="1"/>
  <c r="H11" i="3"/>
  <c r="H12" i="3" s="1"/>
  <c r="G11" i="3"/>
  <c r="F11" i="3"/>
  <c r="E11" i="3"/>
  <c r="N10" i="3"/>
  <c r="M10" i="3"/>
  <c r="L10" i="3"/>
  <c r="K10" i="3"/>
  <c r="H7" i="3"/>
  <c r="I7" i="3" s="1"/>
  <c r="J7" i="3" s="1"/>
  <c r="K7" i="3" s="1"/>
  <c r="L7" i="3" s="1"/>
  <c r="M7" i="3" s="1"/>
  <c r="N7" i="3" s="1"/>
  <c r="O7" i="3" s="1"/>
  <c r="P7" i="3" s="1"/>
  <c r="Q7" i="3" s="1"/>
  <c r="R7" i="3" s="1"/>
  <c r="S7" i="3" s="1"/>
  <c r="T7" i="3" s="1"/>
  <c r="U7" i="3" s="1"/>
  <c r="V7" i="3" s="1"/>
  <c r="W7" i="3" s="1"/>
  <c r="B7" i="3"/>
  <c r="E17" i="3" s="1"/>
  <c r="G25" i="3" s="1"/>
  <c r="U6" i="3"/>
  <c r="T6" i="3"/>
  <c r="S6" i="3"/>
  <c r="R6" i="3"/>
  <c r="Q6" i="3"/>
  <c r="Q8" i="3" s="1"/>
  <c r="G6" i="3"/>
  <c r="G8" i="3" s="1"/>
  <c r="F6" i="3"/>
  <c r="F8" i="3" s="1"/>
  <c r="E6" i="3"/>
  <c r="E8" i="3" s="1"/>
  <c r="V5" i="3"/>
  <c r="AA4" i="3"/>
  <c r="Z4" i="3"/>
  <c r="Y4" i="3"/>
  <c r="X4" i="3"/>
  <c r="W4" i="3"/>
  <c r="W5" i="3" s="1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G5" i="3" s="1"/>
  <c r="F4" i="3"/>
  <c r="F5" i="3" s="1"/>
  <c r="E4" i="3"/>
  <c r="E5" i="3" s="1"/>
  <c r="E9" i="3" s="1"/>
  <c r="B4" i="3"/>
  <c r="R3" i="3"/>
  <c r="R5" i="3" s="1"/>
  <c r="AA2" i="3"/>
  <c r="AA3" i="3" s="1"/>
  <c r="Z2" i="3"/>
  <c r="Z3" i="3" s="1"/>
  <c r="Y2" i="3"/>
  <c r="Y3" i="3" s="1"/>
  <c r="X2" i="3"/>
  <c r="X3" i="3" s="1"/>
  <c r="X6" i="3" s="1"/>
  <c r="W2" i="3"/>
  <c r="W3" i="3" s="1"/>
  <c r="W6" i="3" s="1"/>
  <c r="V2" i="3"/>
  <c r="V3" i="3" s="1"/>
  <c r="V6" i="3" s="1"/>
  <c r="U2" i="3"/>
  <c r="U3" i="3" s="1"/>
  <c r="U5" i="3" s="1"/>
  <c r="T2" i="3"/>
  <c r="T3" i="3" s="1"/>
  <c r="T5" i="3" s="1"/>
  <c r="S2" i="3"/>
  <c r="S3" i="3" s="1"/>
  <c r="S5" i="3" s="1"/>
  <c r="R2" i="3"/>
  <c r="Q2" i="3"/>
  <c r="Q3" i="3" s="1"/>
  <c r="Q5" i="3" s="1"/>
  <c r="P2" i="3"/>
  <c r="P3" i="3" s="1"/>
  <c r="O2" i="3"/>
  <c r="O3" i="3" s="1"/>
  <c r="N2" i="3"/>
  <c r="N3" i="3" s="1"/>
  <c r="M2" i="3"/>
  <c r="M3" i="3" s="1"/>
  <c r="L2" i="3"/>
  <c r="L3" i="3" s="1"/>
  <c r="K2" i="3"/>
  <c r="K3" i="3" s="1"/>
  <c r="J2" i="3"/>
  <c r="J3" i="3" s="1"/>
  <c r="I2" i="3"/>
  <c r="I3" i="3" s="1"/>
  <c r="H2" i="3"/>
  <c r="H3" i="3" s="1"/>
  <c r="G2" i="3"/>
  <c r="F2" i="3"/>
  <c r="E2" i="3"/>
  <c r="F9" i="2" l="1"/>
  <c r="G9" i="2"/>
  <c r="E9" i="2"/>
  <c r="I6" i="3"/>
  <c r="I8" i="3" s="1"/>
  <c r="I5" i="3"/>
  <c r="I9" i="3" s="1"/>
  <c r="K6" i="3"/>
  <c r="K8" i="3" s="1"/>
  <c r="K5" i="3"/>
  <c r="K9" i="3" s="1"/>
  <c r="K18" i="3" s="1"/>
  <c r="X7" i="3"/>
  <c r="Y7" i="3" s="1"/>
  <c r="Z7" i="3" s="1"/>
  <c r="AA7" i="3" s="1"/>
  <c r="AA13" i="3" s="1"/>
  <c r="W13" i="3"/>
  <c r="W16" i="3" s="1"/>
  <c r="J6" i="3"/>
  <c r="J8" i="3" s="1"/>
  <c r="J5" i="3"/>
  <c r="J9" i="3" s="1"/>
  <c r="T9" i="3"/>
  <c r="AA6" i="3"/>
  <c r="AA8" i="3" s="1"/>
  <c r="AA5" i="3"/>
  <c r="H6" i="3"/>
  <c r="H8" i="3" s="1"/>
  <c r="H5" i="3"/>
  <c r="H9" i="3" s="1"/>
  <c r="W9" i="3"/>
  <c r="T15" i="3"/>
  <c r="T16" i="3"/>
  <c r="R8" i="3"/>
  <c r="N5" i="3"/>
  <c r="N9" i="3" s="1"/>
  <c r="N6" i="3"/>
  <c r="N8" i="3" s="1"/>
  <c r="H25" i="3"/>
  <c r="T8" i="3"/>
  <c r="R9" i="3"/>
  <c r="P6" i="3"/>
  <c r="P8" i="3" s="1"/>
  <c r="P5" i="3"/>
  <c r="P9" i="3" s="1"/>
  <c r="Q9" i="3"/>
  <c r="L15" i="3"/>
  <c r="X16" i="3"/>
  <c r="Y6" i="3"/>
  <c r="Y8" i="3" s="1"/>
  <c r="Y5" i="3"/>
  <c r="Y9" i="3" s="1"/>
  <c r="U15" i="3"/>
  <c r="U16" i="3"/>
  <c r="W15" i="3"/>
  <c r="L6" i="3"/>
  <c r="L8" i="3" s="1"/>
  <c r="L5" i="3"/>
  <c r="L9" i="3" s="1"/>
  <c r="L18" i="3" s="1"/>
  <c r="G9" i="3"/>
  <c r="M15" i="3"/>
  <c r="T13" i="3"/>
  <c r="S13" i="3"/>
  <c r="S16" i="3" s="1"/>
  <c r="R13" i="3"/>
  <c r="R16" i="3" s="1"/>
  <c r="I13" i="3"/>
  <c r="I16" i="3" s="1"/>
  <c r="Y13" i="3"/>
  <c r="Y15" i="3" s="1"/>
  <c r="Q13" i="3"/>
  <c r="Q16" i="3" s="1"/>
  <c r="J13" i="3"/>
  <c r="J16" i="3" s="1"/>
  <c r="E13" i="3"/>
  <c r="E16" i="3" s="1"/>
  <c r="E18" i="3" s="1"/>
  <c r="P13" i="3"/>
  <c r="P15" i="3" s="1"/>
  <c r="O13" i="3"/>
  <c r="O15" i="3" s="1"/>
  <c r="N13" i="3"/>
  <c r="N15" i="3" s="1"/>
  <c r="F13" i="3"/>
  <c r="F16" i="3" s="1"/>
  <c r="X13" i="3"/>
  <c r="M13" i="3"/>
  <c r="M16" i="3" s="1"/>
  <c r="L13" i="3"/>
  <c r="L16" i="3" s="1"/>
  <c r="K13" i="3"/>
  <c r="K16" i="3" s="1"/>
  <c r="H13" i="3"/>
  <c r="H16" i="3" s="1"/>
  <c r="Z13" i="3"/>
  <c r="Z16" i="3" s="1"/>
  <c r="G13" i="3"/>
  <c r="G16" i="3" s="1"/>
  <c r="U8" i="3"/>
  <c r="U9" i="3" s="1"/>
  <c r="U18" i="3" s="1"/>
  <c r="F25" i="3"/>
  <c r="E25" i="3"/>
  <c r="M25" i="3"/>
  <c r="K25" i="3"/>
  <c r="I25" i="3"/>
  <c r="B27" i="3"/>
  <c r="L25" i="3"/>
  <c r="J25" i="3"/>
  <c r="M6" i="3"/>
  <c r="M8" i="3" s="1"/>
  <c r="M5" i="3"/>
  <c r="M9" i="3" s="1"/>
  <c r="M18" i="3" s="1"/>
  <c r="J10" i="3"/>
  <c r="I10" i="3"/>
  <c r="H10" i="3"/>
  <c r="X10" i="3"/>
  <c r="AA10" i="3"/>
  <c r="Y10" i="3"/>
  <c r="P10" i="3"/>
  <c r="Z10" i="3"/>
  <c r="U10" i="3"/>
  <c r="T10" i="3"/>
  <c r="R10" i="3"/>
  <c r="O10" i="3"/>
  <c r="W10" i="3"/>
  <c r="V10" i="3"/>
  <c r="Q10" i="3"/>
  <c r="S10" i="3"/>
  <c r="O6" i="3"/>
  <c r="O8" i="3" s="1"/>
  <c r="O5" i="3"/>
  <c r="O9" i="3" s="1"/>
  <c r="V9" i="3"/>
  <c r="O16" i="3"/>
  <c r="X8" i="3"/>
  <c r="Z6" i="3"/>
  <c r="Z8" i="3" s="1"/>
  <c r="Z5" i="3"/>
  <c r="Z9" i="3" s="1"/>
  <c r="S8" i="3"/>
  <c r="S9" i="3" s="1"/>
  <c r="F9" i="3"/>
  <c r="V8" i="3"/>
  <c r="X5" i="3"/>
  <c r="U13" i="3"/>
  <c r="W8" i="3"/>
  <c r="V13" i="3"/>
  <c r="V16" i="3" s="1"/>
  <c r="X15" i="3"/>
  <c r="S18" i="3" l="1"/>
  <c r="AA16" i="3"/>
  <c r="AA15" i="3"/>
  <c r="Z18" i="3"/>
  <c r="AA9" i="3"/>
  <c r="AA18" i="3" s="1"/>
  <c r="F18" i="3"/>
  <c r="T18" i="3"/>
  <c r="J18" i="3"/>
  <c r="S15" i="3"/>
  <c r="R15" i="3"/>
  <c r="E15" i="3"/>
  <c r="O18" i="3"/>
  <c r="Y16" i="3"/>
  <c r="Y18" i="3" s="1"/>
  <c r="Z15" i="3"/>
  <c r="G15" i="3"/>
  <c r="O21" i="3"/>
  <c r="N21" i="3"/>
  <c r="M21" i="3"/>
  <c r="L21" i="3"/>
  <c r="S21" i="3"/>
  <c r="K21" i="3"/>
  <c r="I21" i="3"/>
  <c r="H21" i="3"/>
  <c r="T21" i="3"/>
  <c r="E19" i="3"/>
  <c r="J21" i="3"/>
  <c r="W21" i="3"/>
  <c r="V21" i="3"/>
  <c r="U21" i="3"/>
  <c r="AA21" i="3"/>
  <c r="G21" i="3"/>
  <c r="Z21" i="3"/>
  <c r="F21" i="3"/>
  <c r="E21" i="3"/>
  <c r="E20" i="3"/>
  <c r="E26" i="3" s="1"/>
  <c r="E27" i="3" s="1"/>
  <c r="Y21" i="3"/>
  <c r="X21" i="3"/>
  <c r="R21" i="3"/>
  <c r="P21" i="3"/>
  <c r="Q21" i="3"/>
  <c r="K15" i="3"/>
  <c r="Q18" i="3"/>
  <c r="N16" i="3"/>
  <c r="F15" i="3"/>
  <c r="J15" i="3"/>
  <c r="H15" i="3"/>
  <c r="W18" i="3"/>
  <c r="P18" i="3"/>
  <c r="R18" i="3"/>
  <c r="G18" i="3"/>
  <c r="H18" i="3"/>
  <c r="V18" i="3"/>
  <c r="I15" i="3"/>
  <c r="N18" i="3"/>
  <c r="Q15" i="3"/>
  <c r="V15" i="3"/>
  <c r="P16" i="3"/>
  <c r="X9" i="3"/>
  <c r="X18" i="3" s="1"/>
  <c r="I18" i="3"/>
  <c r="E29" i="3" l="1"/>
  <c r="H23" i="3"/>
  <c r="H22" i="3"/>
  <c r="I19" i="3" s="1"/>
  <c r="E22" i="3"/>
  <c r="F19" i="3" s="1"/>
  <c r="E23" i="3"/>
  <c r="H26" i="3"/>
  <c r="H27" i="3" s="1"/>
  <c r="H29" i="3" s="1"/>
  <c r="I22" i="3" l="1"/>
  <c r="J19" i="3" s="1"/>
  <c r="I20" i="3"/>
  <c r="F22" i="3"/>
  <c r="G19" i="3" s="1"/>
  <c r="F20" i="3"/>
  <c r="Q2" i="2"/>
  <c r="Q3" i="2" s="1"/>
  <c r="Q9" i="2" s="1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AA12" i="2"/>
  <c r="AA13" i="2" s="1"/>
  <c r="Z12" i="2"/>
  <c r="Z13" i="2" s="1"/>
  <c r="Y12" i="2"/>
  <c r="Y13" i="2" s="1"/>
  <c r="X12" i="2"/>
  <c r="X13" i="2" s="1"/>
  <c r="W12" i="2"/>
  <c r="W13" i="2" s="1"/>
  <c r="V12" i="2"/>
  <c r="V13" i="2" s="1"/>
  <c r="U12" i="2"/>
  <c r="U13" i="2" s="1"/>
  <c r="T12" i="2"/>
  <c r="T13" i="2" s="1"/>
  <c r="S12" i="2"/>
  <c r="S13" i="2" s="1"/>
  <c r="R12" i="2"/>
  <c r="R13" i="2" s="1"/>
  <c r="Q12" i="2"/>
  <c r="Q13" i="2" s="1"/>
  <c r="P12" i="2"/>
  <c r="P13" i="2" s="1"/>
  <c r="O12" i="2"/>
  <c r="O13" i="2" s="1"/>
  <c r="N12" i="2"/>
  <c r="N13" i="2" s="1"/>
  <c r="M12" i="2"/>
  <c r="M13" i="2" s="1"/>
  <c r="L12" i="2"/>
  <c r="L13" i="2" s="1"/>
  <c r="K12" i="2"/>
  <c r="K13" i="2" s="1"/>
  <c r="J12" i="2"/>
  <c r="J13" i="2" s="1"/>
  <c r="I12" i="2"/>
  <c r="I13" i="2" s="1"/>
  <c r="H12" i="2"/>
  <c r="H13" i="2" s="1"/>
  <c r="G12" i="2"/>
  <c r="G13" i="2" s="1"/>
  <c r="F12" i="2"/>
  <c r="F13" i="2" s="1"/>
  <c r="E12" i="2"/>
  <c r="E13" i="2" s="1"/>
  <c r="B15" i="2"/>
  <c r="B16" i="2" s="1"/>
  <c r="B13" i="2"/>
  <c r="B28" i="2"/>
  <c r="G14" i="2" l="1"/>
  <c r="H14" i="2"/>
  <c r="I14" i="2"/>
  <c r="J14" i="2"/>
  <c r="E14" i="2"/>
  <c r="F14" i="2"/>
  <c r="F18" i="2" s="1"/>
  <c r="F26" i="3"/>
  <c r="F27" i="3" s="1"/>
  <c r="F29" i="3" s="1"/>
  <c r="F23" i="3"/>
  <c r="G20" i="3"/>
  <c r="I26" i="3"/>
  <c r="I27" i="3" s="1"/>
  <c r="I29" i="3" s="1"/>
  <c r="I23" i="3"/>
  <c r="J20" i="3"/>
  <c r="U2" i="2"/>
  <c r="U3" i="2" s="1"/>
  <c r="U9" i="2" s="1"/>
  <c r="R2" i="2"/>
  <c r="R3" i="2" s="1"/>
  <c r="R9" i="2" s="1"/>
  <c r="X2" i="2"/>
  <c r="X3" i="2" s="1"/>
  <c r="X9" i="2" s="1"/>
  <c r="AA2" i="2"/>
  <c r="AA3" i="2" s="1"/>
  <c r="H2" i="2"/>
  <c r="H3" i="2" s="1"/>
  <c r="H9" i="2" s="1"/>
  <c r="J2" i="2"/>
  <c r="J3" i="2" s="1"/>
  <c r="J9" i="2" s="1"/>
  <c r="N2" i="2"/>
  <c r="N3" i="2" s="1"/>
  <c r="W2" i="2"/>
  <c r="W3" i="2" s="1"/>
  <c r="G2" i="2"/>
  <c r="K2" i="2"/>
  <c r="K3" i="2" s="1"/>
  <c r="K9" i="2" s="1"/>
  <c r="M2" i="2"/>
  <c r="M3" i="2" s="1"/>
  <c r="M9" i="2" s="1"/>
  <c r="O2" i="2"/>
  <c r="O3" i="2" s="1"/>
  <c r="O9" i="2" s="1"/>
  <c r="B4" i="2"/>
  <c r="J11" i="2" s="1"/>
  <c r="B7" i="2"/>
  <c r="I2" i="2"/>
  <c r="I3" i="2" s="1"/>
  <c r="I9" i="2" s="1"/>
  <c r="P2" i="2"/>
  <c r="P3" i="2" s="1"/>
  <c r="S2" i="2"/>
  <c r="S3" i="2" s="1"/>
  <c r="T2" i="2"/>
  <c r="T3" i="2" s="1"/>
  <c r="V2" i="2"/>
  <c r="V3" i="2" s="1"/>
  <c r="V9" i="2" s="1"/>
  <c r="Y2" i="2"/>
  <c r="Y3" i="2" s="1"/>
  <c r="Y9" i="2" s="1"/>
  <c r="Z2" i="2"/>
  <c r="Z3" i="2" s="1"/>
  <c r="Z9" i="2" s="1"/>
  <c r="E2" i="2"/>
  <c r="F2" i="2"/>
  <c r="L2" i="2"/>
  <c r="L3" i="2" s="1"/>
  <c r="L9" i="2" s="1"/>
  <c r="K14" i="2"/>
  <c r="K17" i="2" s="1"/>
  <c r="H5" i="2"/>
  <c r="Q5" i="2"/>
  <c r="G5" i="2"/>
  <c r="F5" i="2"/>
  <c r="E5" i="2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B18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B6" i="1"/>
  <c r="E17" i="1" s="1"/>
  <c r="X2" i="1"/>
  <c r="X3" i="1" s="1"/>
  <c r="W2" i="1"/>
  <c r="W3" i="1" s="1"/>
  <c r="V2" i="1"/>
  <c r="V3" i="1" s="1"/>
  <c r="V13" i="1" s="1"/>
  <c r="U2" i="1"/>
  <c r="U3" i="1" s="1"/>
  <c r="T2" i="1"/>
  <c r="T3" i="1" s="1"/>
  <c r="T6" i="1" s="1"/>
  <c r="T8" i="1" s="1"/>
  <c r="S2" i="1"/>
  <c r="S3" i="1" s="1"/>
  <c r="S6" i="1" s="1"/>
  <c r="S8" i="1" s="1"/>
  <c r="R2" i="1"/>
  <c r="R3" i="1" s="1"/>
  <c r="R13" i="1" s="1"/>
  <c r="Q2" i="1"/>
  <c r="Q3" i="1" s="1"/>
  <c r="Q13" i="1" s="1"/>
  <c r="P2" i="1"/>
  <c r="P3" i="1" s="1"/>
  <c r="P13" i="1" s="1"/>
  <c r="P14" i="1" s="1"/>
  <c r="O2" i="1"/>
  <c r="O3" i="1" s="1"/>
  <c r="O13" i="1" s="1"/>
  <c r="O14" i="1" s="1"/>
  <c r="N2" i="1"/>
  <c r="N3" i="1" s="1"/>
  <c r="N13" i="1" s="1"/>
  <c r="M2" i="1"/>
  <c r="M3" i="1" s="1"/>
  <c r="L2" i="1"/>
  <c r="L3" i="1" s="1"/>
  <c r="L13" i="1" s="1"/>
  <c r="K2" i="1"/>
  <c r="K3" i="1" s="1"/>
  <c r="K13" i="1" s="1"/>
  <c r="K14" i="1" s="1"/>
  <c r="J2" i="1"/>
  <c r="J3" i="1" s="1"/>
  <c r="J13" i="1" s="1"/>
  <c r="I2" i="1"/>
  <c r="I3" i="1" s="1"/>
  <c r="I13" i="1" s="1"/>
  <c r="H2" i="1"/>
  <c r="H3" i="1" s="1"/>
  <c r="G2" i="1"/>
  <c r="G3" i="1" s="1"/>
  <c r="F2" i="1"/>
  <c r="F3" i="1" s="1"/>
  <c r="F13" i="1" s="1"/>
  <c r="E2" i="1"/>
  <c r="E3" i="1" s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G21" i="2" l="1"/>
  <c r="J29" i="2"/>
  <c r="I29" i="2"/>
  <c r="H29" i="2"/>
  <c r="K29" i="2"/>
  <c r="L29" i="2"/>
  <c r="B26" i="2"/>
  <c r="M29" i="2"/>
  <c r="J5" i="2"/>
  <c r="J10" i="2" s="1"/>
  <c r="AA5" i="2"/>
  <c r="AA9" i="2"/>
  <c r="S5" i="2"/>
  <c r="S9" i="2"/>
  <c r="P5" i="2"/>
  <c r="P9" i="2"/>
  <c r="G16" i="2"/>
  <c r="G17" i="2"/>
  <c r="F16" i="2"/>
  <c r="F17" i="2"/>
  <c r="W5" i="2"/>
  <c r="W9" i="2"/>
  <c r="E16" i="2"/>
  <c r="E17" i="2"/>
  <c r="N5" i="2"/>
  <c r="N9" i="2"/>
  <c r="T5" i="2"/>
  <c r="T9" i="2"/>
  <c r="J16" i="2"/>
  <c r="J17" i="2"/>
  <c r="I16" i="2"/>
  <c r="I17" i="2"/>
  <c r="H16" i="2"/>
  <c r="H17" i="2"/>
  <c r="G18" i="2"/>
  <c r="E18" i="2"/>
  <c r="J23" i="3"/>
  <c r="J26" i="3"/>
  <c r="J27" i="3" s="1"/>
  <c r="J29" i="3" s="1"/>
  <c r="J22" i="3"/>
  <c r="G23" i="3"/>
  <c r="G26" i="3"/>
  <c r="G27" i="3" s="1"/>
  <c r="G29" i="3" s="1"/>
  <c r="G22" i="3"/>
  <c r="K19" i="3" s="1"/>
  <c r="X5" i="2"/>
  <c r="M5" i="2"/>
  <c r="X11" i="2"/>
  <c r="Q11" i="2"/>
  <c r="Z5" i="2"/>
  <c r="I5" i="2"/>
  <c r="I10" i="2" s="1"/>
  <c r="U5" i="2"/>
  <c r="R5" i="2"/>
  <c r="F21" i="2"/>
  <c r="I11" i="2"/>
  <c r="E21" i="2"/>
  <c r="B25" i="2"/>
  <c r="L5" i="2"/>
  <c r="H11" i="2"/>
  <c r="U11" i="2"/>
  <c r="V5" i="2"/>
  <c r="W11" i="2"/>
  <c r="K5" i="2"/>
  <c r="S11" i="2"/>
  <c r="P11" i="2"/>
  <c r="O11" i="2"/>
  <c r="Y11" i="2"/>
  <c r="N11" i="2"/>
  <c r="J18" i="2"/>
  <c r="Z11" i="2"/>
  <c r="O5" i="2"/>
  <c r="T11" i="2"/>
  <c r="Y5" i="2"/>
  <c r="M11" i="2"/>
  <c r="L11" i="2"/>
  <c r="V11" i="2"/>
  <c r="K11" i="2"/>
  <c r="R11" i="2"/>
  <c r="AA11" i="2"/>
  <c r="L14" i="2"/>
  <c r="L17" i="2" s="1"/>
  <c r="H10" i="2"/>
  <c r="E10" i="2"/>
  <c r="G10" i="2"/>
  <c r="F10" i="2"/>
  <c r="F22" i="2" s="1"/>
  <c r="P5" i="1"/>
  <c r="W13" i="1"/>
  <c r="W6" i="1"/>
  <c r="W8" i="1" s="1"/>
  <c r="M13" i="1"/>
  <c r="M14" i="1" s="1"/>
  <c r="M6" i="1"/>
  <c r="M8" i="1" s="1"/>
  <c r="G13" i="1"/>
  <c r="G14" i="1" s="1"/>
  <c r="G6" i="1"/>
  <c r="G8" i="1" s="1"/>
  <c r="X13" i="1"/>
  <c r="X14" i="1" s="1"/>
  <c r="X6" i="1"/>
  <c r="X8" i="1" s="1"/>
  <c r="U13" i="1"/>
  <c r="U14" i="1" s="1"/>
  <c r="U6" i="1"/>
  <c r="U8" i="1" s="1"/>
  <c r="E24" i="1"/>
  <c r="H24" i="1"/>
  <c r="I24" i="1"/>
  <c r="E13" i="1"/>
  <c r="E14" i="1" s="1"/>
  <c r="E6" i="1"/>
  <c r="E8" i="1" s="1"/>
  <c r="H13" i="1"/>
  <c r="H14" i="1" s="1"/>
  <c r="H6" i="1"/>
  <c r="H8" i="1" s="1"/>
  <c r="F6" i="1"/>
  <c r="F8" i="1" s="1"/>
  <c r="N6" i="1"/>
  <c r="N8" i="1" s="1"/>
  <c r="V6" i="1"/>
  <c r="V8" i="1" s="1"/>
  <c r="O6" i="1"/>
  <c r="O8" i="1" s="1"/>
  <c r="P6" i="1"/>
  <c r="P8" i="1" s="1"/>
  <c r="P9" i="1" s="1"/>
  <c r="P15" i="1" s="1"/>
  <c r="M5" i="1"/>
  <c r="M9" i="1" s="1"/>
  <c r="U5" i="1"/>
  <c r="I6" i="1"/>
  <c r="I8" i="1" s="1"/>
  <c r="Q6" i="1"/>
  <c r="Q8" i="1" s="1"/>
  <c r="B15" i="1"/>
  <c r="J6" i="1"/>
  <c r="J8" i="1" s="1"/>
  <c r="R6" i="1"/>
  <c r="R8" i="1" s="1"/>
  <c r="O5" i="1"/>
  <c r="O9" i="1" s="1"/>
  <c r="O15" i="1" s="1"/>
  <c r="W5" i="1"/>
  <c r="W9" i="1" s="1"/>
  <c r="W15" i="1" s="1"/>
  <c r="K6" i="1"/>
  <c r="K8" i="1" s="1"/>
  <c r="H5" i="1"/>
  <c r="X5" i="1"/>
  <c r="X9" i="1" s="1"/>
  <c r="L6" i="1"/>
  <c r="L8" i="1" s="1"/>
  <c r="T5" i="1"/>
  <c r="T9" i="1" s="1"/>
  <c r="T13" i="1"/>
  <c r="T14" i="1" s="1"/>
  <c r="F14" i="1"/>
  <c r="N14" i="1"/>
  <c r="V14" i="1"/>
  <c r="W14" i="1"/>
  <c r="S13" i="1"/>
  <c r="S14" i="1" s="1"/>
  <c r="S5" i="1"/>
  <c r="S9" i="1" s="1"/>
  <c r="G5" i="1"/>
  <c r="I14" i="1"/>
  <c r="F24" i="1"/>
  <c r="F5" i="1"/>
  <c r="N5" i="1"/>
  <c r="V5" i="1"/>
  <c r="V9" i="1" s="1"/>
  <c r="V15" i="1" s="1"/>
  <c r="B16" i="1"/>
  <c r="G24" i="1"/>
  <c r="Q14" i="1"/>
  <c r="J5" i="1"/>
  <c r="J9" i="1" s="1"/>
  <c r="R5" i="1"/>
  <c r="R9" i="1" s="1"/>
  <c r="L14" i="1"/>
  <c r="J14" i="1"/>
  <c r="R14" i="1"/>
  <c r="Q5" i="1"/>
  <c r="J24" i="1"/>
  <c r="K5" i="1"/>
  <c r="I5" i="1"/>
  <c r="L5" i="1"/>
  <c r="E5" i="1"/>
  <c r="I18" i="2" l="1"/>
  <c r="I22" i="2" s="1"/>
  <c r="E23" i="2"/>
  <c r="E25" i="2"/>
  <c r="H18" i="2"/>
  <c r="G22" i="2"/>
  <c r="K10" i="2"/>
  <c r="E22" i="2"/>
  <c r="L10" i="2"/>
  <c r="K20" i="3"/>
  <c r="H22" i="2"/>
  <c r="K18" i="2"/>
  <c r="K16" i="2"/>
  <c r="J22" i="2"/>
  <c r="E24" i="2"/>
  <c r="R15" i="1"/>
  <c r="N9" i="1"/>
  <c r="N15" i="1" s="1"/>
  <c r="J15" i="1"/>
  <c r="L9" i="1"/>
  <c r="L15" i="1" s="1"/>
  <c r="X15" i="1"/>
  <c r="M15" i="1"/>
  <c r="H9" i="1"/>
  <c r="H15" i="1" s="1"/>
  <c r="G9" i="1"/>
  <c r="G15" i="1" s="1"/>
  <c r="U9" i="1"/>
  <c r="U15" i="1" s="1"/>
  <c r="K9" i="1"/>
  <c r="K15" i="1" s="1"/>
  <c r="F9" i="1"/>
  <c r="F15" i="1" s="1"/>
  <c r="I9" i="1"/>
  <c r="I15" i="1" s="1"/>
  <c r="T15" i="1"/>
  <c r="E9" i="1"/>
  <c r="E15" i="1" s="1"/>
  <c r="S15" i="1"/>
  <c r="Q9" i="1"/>
  <c r="Q15" i="1" s="1"/>
  <c r="Q20" i="1"/>
  <c r="I20" i="1"/>
  <c r="N20" i="1"/>
  <c r="X20" i="1"/>
  <c r="P20" i="1"/>
  <c r="H20" i="1"/>
  <c r="E19" i="1"/>
  <c r="M20" i="1"/>
  <c r="F20" i="1"/>
  <c r="E18" i="1"/>
  <c r="L20" i="1"/>
  <c r="W20" i="1"/>
  <c r="O20" i="1"/>
  <c r="G20" i="1"/>
  <c r="V20" i="1"/>
  <c r="U20" i="1"/>
  <c r="T20" i="1"/>
  <c r="S20" i="1"/>
  <c r="K20" i="1"/>
  <c r="R20" i="1"/>
  <c r="J20" i="1"/>
  <c r="E20" i="1"/>
  <c r="K22" i="2" l="1"/>
  <c r="E30" i="2"/>
  <c r="E31" i="2" s="1"/>
  <c r="M14" i="2"/>
  <c r="M17" i="2" s="1"/>
  <c r="M10" i="2"/>
  <c r="E27" i="2"/>
  <c r="K26" i="3"/>
  <c r="K27" i="3" s="1"/>
  <c r="K29" i="3" s="1"/>
  <c r="K23" i="3"/>
  <c r="K22" i="3"/>
  <c r="L19" i="3" s="1"/>
  <c r="L18" i="2"/>
  <c r="L22" i="2" s="1"/>
  <c r="L16" i="2"/>
  <c r="E25" i="1"/>
  <c r="E26" i="1" s="1"/>
  <c r="E22" i="1"/>
  <c r="E21" i="1"/>
  <c r="F18" i="1" s="1"/>
  <c r="E28" i="1"/>
  <c r="E33" i="2" l="1"/>
  <c r="E26" i="2"/>
  <c r="N14" i="2"/>
  <c r="N17" i="2" s="1"/>
  <c r="L20" i="3"/>
  <c r="M18" i="2"/>
  <c r="M22" i="2" s="1"/>
  <c r="M16" i="2"/>
  <c r="N10" i="2"/>
  <c r="F19" i="1"/>
  <c r="F21" i="1"/>
  <c r="G18" i="1" s="1"/>
  <c r="G19" i="1" s="1"/>
  <c r="F23" i="2" l="1"/>
  <c r="O14" i="2"/>
  <c r="O17" i="2" s="1"/>
  <c r="L26" i="3"/>
  <c r="L27" i="3" s="1"/>
  <c r="L29" i="3" s="1"/>
  <c r="L23" i="3"/>
  <c r="L22" i="3"/>
  <c r="M19" i="3" s="1"/>
  <c r="N18" i="2"/>
  <c r="N22" i="2" s="1"/>
  <c r="N16" i="2"/>
  <c r="O10" i="2"/>
  <c r="G21" i="1"/>
  <c r="H18" i="1" s="1"/>
  <c r="G25" i="1"/>
  <c r="G22" i="1"/>
  <c r="F25" i="1"/>
  <c r="F22" i="1"/>
  <c r="F24" i="2" l="1"/>
  <c r="F25" i="2" s="1"/>
  <c r="P14" i="2"/>
  <c r="P17" i="2" s="1"/>
  <c r="M20" i="3"/>
  <c r="M22" i="3"/>
  <c r="N19" i="3" s="1"/>
  <c r="O18" i="2"/>
  <c r="O22" i="2" s="1"/>
  <c r="O16" i="2"/>
  <c r="P10" i="2"/>
  <c r="F26" i="1"/>
  <c r="F28" i="1" s="1"/>
  <c r="G26" i="1"/>
  <c r="G28" i="1" s="1"/>
  <c r="H19" i="1"/>
  <c r="H21" i="1"/>
  <c r="I18" i="1" s="1"/>
  <c r="F27" i="2" l="1"/>
  <c r="F26" i="2"/>
  <c r="G23" i="2" s="1"/>
  <c r="F30" i="2"/>
  <c r="F31" i="2" s="1"/>
  <c r="F33" i="2" s="1"/>
  <c r="Q14" i="2"/>
  <c r="Q17" i="2" s="1"/>
  <c r="N20" i="3"/>
  <c r="N22" i="3"/>
  <c r="O19" i="3" s="1"/>
  <c r="M26" i="3"/>
  <c r="M27" i="3" s="1"/>
  <c r="M29" i="3" s="1"/>
  <c r="M23" i="3"/>
  <c r="P18" i="2"/>
  <c r="P22" i="2" s="1"/>
  <c r="P16" i="2"/>
  <c r="Q10" i="2"/>
  <c r="H22" i="1"/>
  <c r="H25" i="1"/>
  <c r="I19" i="1"/>
  <c r="I21" i="1" s="1"/>
  <c r="J18" i="1" s="1"/>
  <c r="G24" i="2" l="1"/>
  <c r="G25" i="2" s="1"/>
  <c r="R14" i="2"/>
  <c r="R17" i="2" s="1"/>
  <c r="O20" i="3"/>
  <c r="O22" i="3"/>
  <c r="P19" i="3" s="1"/>
  <c r="N23" i="3"/>
  <c r="N26" i="3"/>
  <c r="N27" i="3" s="1"/>
  <c r="N29" i="3" s="1"/>
  <c r="Q18" i="2"/>
  <c r="Q22" i="2" s="1"/>
  <c r="Q16" i="2"/>
  <c r="R10" i="2"/>
  <c r="J19" i="1"/>
  <c r="J21" i="1" s="1"/>
  <c r="K18" i="1" s="1"/>
  <c r="K19" i="1" s="1"/>
  <c r="I22" i="1"/>
  <c r="I25" i="1"/>
  <c r="H26" i="1"/>
  <c r="H28" i="1" s="1"/>
  <c r="G26" i="2" l="1"/>
  <c r="G30" i="2"/>
  <c r="G31" i="2" s="1"/>
  <c r="S14" i="2"/>
  <c r="S17" i="2" s="1"/>
  <c r="S10" i="2"/>
  <c r="P20" i="3"/>
  <c r="P22" i="3"/>
  <c r="Q19" i="3" s="1"/>
  <c r="O23" i="3"/>
  <c r="O26" i="3"/>
  <c r="O27" i="3" s="1"/>
  <c r="O29" i="3" s="1"/>
  <c r="R18" i="2"/>
  <c r="R22" i="2" s="1"/>
  <c r="R16" i="2"/>
  <c r="K21" i="1"/>
  <c r="L18" i="1" s="1"/>
  <c r="K22" i="1"/>
  <c r="K25" i="1"/>
  <c r="I26" i="1"/>
  <c r="I28" i="1" s="1"/>
  <c r="J22" i="1"/>
  <c r="J25" i="1"/>
  <c r="H23" i="2" l="1"/>
  <c r="K23" i="2"/>
  <c r="G27" i="2"/>
  <c r="G33" i="2"/>
  <c r="K24" i="2"/>
  <c r="T14" i="2"/>
  <c r="T17" i="2" s="1"/>
  <c r="Q20" i="3"/>
  <c r="Q22" i="3"/>
  <c r="R19" i="3" s="1"/>
  <c r="P23" i="3"/>
  <c r="P26" i="3"/>
  <c r="P27" i="3" s="1"/>
  <c r="P29" i="3" s="1"/>
  <c r="S18" i="2"/>
  <c r="S22" i="2" s="1"/>
  <c r="S16" i="2"/>
  <c r="T10" i="2"/>
  <c r="J26" i="1"/>
  <c r="J28" i="1" s="1"/>
  <c r="K26" i="1"/>
  <c r="K28" i="1" s="1"/>
  <c r="L19" i="1"/>
  <c r="K25" i="2" l="1"/>
  <c r="K27" i="2" s="1"/>
  <c r="H24" i="2"/>
  <c r="H25" i="2" s="1"/>
  <c r="K30" i="2"/>
  <c r="K31" i="2" s="1"/>
  <c r="H30" i="2"/>
  <c r="H31" i="2" s="1"/>
  <c r="U14" i="2"/>
  <c r="U17" i="2" s="1"/>
  <c r="U10" i="2"/>
  <c r="R20" i="3"/>
  <c r="R22" i="3"/>
  <c r="S19" i="3" s="1"/>
  <c r="Q23" i="3"/>
  <c r="Q26" i="3"/>
  <c r="Q27" i="3" s="1"/>
  <c r="Q29" i="3" s="1"/>
  <c r="T18" i="2"/>
  <c r="T22" i="2" s="1"/>
  <c r="T16" i="2"/>
  <c r="L22" i="1"/>
  <c r="L25" i="1"/>
  <c r="L21" i="1"/>
  <c r="M18" i="1" s="1"/>
  <c r="M19" i="1" s="1"/>
  <c r="K33" i="2" l="1"/>
  <c r="H26" i="2"/>
  <c r="I23" i="2" s="1"/>
  <c r="H27" i="2"/>
  <c r="H33" i="2"/>
  <c r="I24" i="2"/>
  <c r="K26" i="2"/>
  <c r="L23" i="2" s="1"/>
  <c r="I30" i="2"/>
  <c r="I31" i="2" s="1"/>
  <c r="V14" i="2"/>
  <c r="V17" i="2" s="1"/>
  <c r="S20" i="3"/>
  <c r="R23" i="3"/>
  <c r="R26" i="3"/>
  <c r="R27" i="3" s="1"/>
  <c r="R29" i="3" s="1"/>
  <c r="U18" i="2"/>
  <c r="U22" i="2" s="1"/>
  <c r="U16" i="2"/>
  <c r="V10" i="2"/>
  <c r="M21" i="1"/>
  <c r="N18" i="1" s="1"/>
  <c r="M25" i="1"/>
  <c r="M22" i="1"/>
  <c r="L26" i="1"/>
  <c r="L28" i="1" s="1"/>
  <c r="I25" i="2" l="1"/>
  <c r="I27" i="2"/>
  <c r="L24" i="2"/>
  <c r="L30" i="2" s="1"/>
  <c r="L31" i="2" s="1"/>
  <c r="W14" i="2"/>
  <c r="W17" i="2" s="1"/>
  <c r="S23" i="3"/>
  <c r="S26" i="3"/>
  <c r="S27" i="3" s="1"/>
  <c r="S29" i="3" s="1"/>
  <c r="S22" i="3"/>
  <c r="T19" i="3" s="1"/>
  <c r="V18" i="2"/>
  <c r="V22" i="2" s="1"/>
  <c r="V16" i="2"/>
  <c r="W10" i="2"/>
  <c r="M26" i="1"/>
  <c r="M28" i="1" s="1"/>
  <c r="N19" i="1"/>
  <c r="L25" i="2" l="1"/>
  <c r="I26" i="2"/>
  <c r="J23" i="2" s="1"/>
  <c r="I33" i="2"/>
  <c r="X14" i="2"/>
  <c r="X17" i="2" s="1"/>
  <c r="T20" i="3"/>
  <c r="W18" i="2"/>
  <c r="W22" i="2" s="1"/>
  <c r="W16" i="2"/>
  <c r="X10" i="2"/>
  <c r="N25" i="1"/>
  <c r="N22" i="1"/>
  <c r="N21" i="1"/>
  <c r="O18" i="1" s="1"/>
  <c r="L27" i="2" l="1"/>
  <c r="L26" i="2"/>
  <c r="M23" i="2" s="1"/>
  <c r="J24" i="2"/>
  <c r="J30" i="2" s="1"/>
  <c r="J31" i="2" s="1"/>
  <c r="L33" i="2"/>
  <c r="Y14" i="2"/>
  <c r="Y17" i="2" s="1"/>
  <c r="T23" i="3"/>
  <c r="T26" i="3"/>
  <c r="T27" i="3" s="1"/>
  <c r="T29" i="3" s="1"/>
  <c r="T22" i="3"/>
  <c r="U19" i="3" s="1"/>
  <c r="X18" i="2"/>
  <c r="X22" i="2" s="1"/>
  <c r="X16" i="2"/>
  <c r="Y10" i="2"/>
  <c r="O19" i="1"/>
  <c r="O21" i="1" s="1"/>
  <c r="P18" i="1" s="1"/>
  <c r="N26" i="1"/>
  <c r="N28" i="1" s="1"/>
  <c r="J25" i="2" l="1"/>
  <c r="J27" i="2" s="1"/>
  <c r="M24" i="2"/>
  <c r="M30" i="2" s="1"/>
  <c r="M31" i="2" s="1"/>
  <c r="Z14" i="2"/>
  <c r="Z17" i="2" s="1"/>
  <c r="U20" i="3"/>
  <c r="U22" i="3"/>
  <c r="V19" i="3" s="1"/>
  <c r="Y18" i="2"/>
  <c r="Y22" i="2" s="1"/>
  <c r="Y16" i="2"/>
  <c r="Z10" i="2"/>
  <c r="P19" i="1"/>
  <c r="P21" i="1"/>
  <c r="Q18" i="1" s="1"/>
  <c r="O22" i="1"/>
  <c r="O25" i="1"/>
  <c r="M25" i="2" l="1"/>
  <c r="M27" i="2" s="1"/>
  <c r="J26" i="2"/>
  <c r="J33" i="2"/>
  <c r="AA14" i="2"/>
  <c r="AA17" i="2" s="1"/>
  <c r="V20" i="3"/>
  <c r="V22" i="3"/>
  <c r="W19" i="3" s="1"/>
  <c r="U26" i="3"/>
  <c r="U27" i="3" s="1"/>
  <c r="U29" i="3" s="1"/>
  <c r="U23" i="3"/>
  <c r="Z18" i="2"/>
  <c r="Z22" i="2" s="1"/>
  <c r="Z16" i="2"/>
  <c r="AA10" i="2"/>
  <c r="O26" i="1"/>
  <c r="O28" i="1" s="1"/>
  <c r="Q19" i="1"/>
  <c r="Q21" i="1" s="1"/>
  <c r="R18" i="1" s="1"/>
  <c r="P25" i="1"/>
  <c r="P22" i="1"/>
  <c r="M33" i="2" l="1"/>
  <c r="M26" i="2"/>
  <c r="N23" i="2" s="1"/>
  <c r="W20" i="3"/>
  <c r="W22" i="3"/>
  <c r="X19" i="3" s="1"/>
  <c r="V26" i="3"/>
  <c r="V27" i="3" s="1"/>
  <c r="V29" i="3" s="1"/>
  <c r="V23" i="3"/>
  <c r="AA18" i="2"/>
  <c r="AA22" i="2" s="1"/>
  <c r="AA16" i="2"/>
  <c r="R19" i="1"/>
  <c r="R21" i="1"/>
  <c r="S18" i="1" s="1"/>
  <c r="P26" i="1"/>
  <c r="P28" i="1" s="1"/>
  <c r="Q25" i="1"/>
  <c r="Q22" i="1"/>
  <c r="N24" i="2" l="1"/>
  <c r="N30" i="2" s="1"/>
  <c r="N31" i="2" s="1"/>
  <c r="X20" i="3"/>
  <c r="X22" i="3"/>
  <c r="Y19" i="3" s="1"/>
  <c r="W26" i="3"/>
  <c r="W27" i="3" s="1"/>
  <c r="W29" i="3" s="1"/>
  <c r="W23" i="3"/>
  <c r="Q26" i="1"/>
  <c r="Q28" i="1" s="1"/>
  <c r="S19" i="1"/>
  <c r="R22" i="1"/>
  <c r="R25" i="1"/>
  <c r="N25" i="2" l="1"/>
  <c r="N27" i="2" s="1"/>
  <c r="Y20" i="3"/>
  <c r="X23" i="3"/>
  <c r="X26" i="3"/>
  <c r="X27" i="3" s="1"/>
  <c r="X29" i="3" s="1"/>
  <c r="S22" i="1"/>
  <c r="S25" i="1"/>
  <c r="R26" i="1"/>
  <c r="R28" i="1" s="1"/>
  <c r="S21" i="1"/>
  <c r="T18" i="1" s="1"/>
  <c r="N33" i="2" l="1"/>
  <c r="N26" i="2"/>
  <c r="O23" i="2" s="1"/>
  <c r="Y23" i="3"/>
  <c r="Y26" i="3"/>
  <c r="Y27" i="3" s="1"/>
  <c r="Y29" i="3" s="1"/>
  <c r="Y22" i="3"/>
  <c r="Z19" i="3" s="1"/>
  <c r="T19" i="1"/>
  <c r="T21" i="1"/>
  <c r="U18" i="1" s="1"/>
  <c r="S26" i="1"/>
  <c r="S28" i="1" s="1"/>
  <c r="O24" i="2" l="1"/>
  <c r="O30" i="2" s="1"/>
  <c r="O31" i="2" s="1"/>
  <c r="Z20" i="3"/>
  <c r="U19" i="1"/>
  <c r="U21" i="1" s="1"/>
  <c r="V18" i="1" s="1"/>
  <c r="T25" i="1"/>
  <c r="T22" i="1"/>
  <c r="O25" i="2" l="1"/>
  <c r="Z26" i="3"/>
  <c r="Z27" i="3" s="1"/>
  <c r="Z29" i="3" s="1"/>
  <c r="Z23" i="3"/>
  <c r="Z22" i="3"/>
  <c r="AA19" i="3" s="1"/>
  <c r="T26" i="1"/>
  <c r="T28" i="1" s="1"/>
  <c r="V19" i="1"/>
  <c r="V21" i="1" s="1"/>
  <c r="W18" i="1" s="1"/>
  <c r="U22" i="1"/>
  <c r="U25" i="1"/>
  <c r="O27" i="2" l="1"/>
  <c r="O26" i="2"/>
  <c r="P23" i="2" s="1"/>
  <c r="O33" i="2"/>
  <c r="AA20" i="3"/>
  <c r="AA22" i="3"/>
  <c r="W19" i="1"/>
  <c r="W21" i="1"/>
  <c r="X18" i="1" s="1"/>
  <c r="U26" i="1"/>
  <c r="U28" i="1" s="1"/>
  <c r="V22" i="1"/>
  <c r="V25" i="1"/>
  <c r="P24" i="2" l="1"/>
  <c r="AA26" i="3"/>
  <c r="AA27" i="3" s="1"/>
  <c r="AA29" i="3" s="1"/>
  <c r="E30" i="3" s="1"/>
  <c r="AA23" i="3"/>
  <c r="V26" i="1"/>
  <c r="V28" i="1" s="1"/>
  <c r="X19" i="1"/>
  <c r="X21" i="1"/>
  <c r="W22" i="1"/>
  <c r="W25" i="1"/>
  <c r="P30" i="2" l="1"/>
  <c r="P31" i="2" s="1"/>
  <c r="P25" i="2"/>
  <c r="W26" i="1"/>
  <c r="W28" i="1" s="1"/>
  <c r="X25" i="1"/>
  <c r="X26" i="1" s="1"/>
  <c r="X28" i="1" s="1"/>
  <c r="X22" i="1"/>
  <c r="P27" i="2" l="1"/>
  <c r="P33" i="2"/>
  <c r="P26" i="2"/>
  <c r="Q23" i="2" s="1"/>
  <c r="E29" i="1"/>
  <c r="Q24" i="2" l="1"/>
  <c r="Q30" i="2" s="1"/>
  <c r="Q31" i="2" s="1"/>
  <c r="Q25" i="2"/>
  <c r="Q26" i="2" s="1"/>
  <c r="R23" i="2" s="1"/>
  <c r="R24" i="2" l="1"/>
  <c r="R30" i="2" s="1"/>
  <c r="R31" i="2" s="1"/>
  <c r="Q27" i="2"/>
  <c r="Q33" i="2"/>
  <c r="R25" i="2" l="1"/>
  <c r="R27" i="2" l="1"/>
  <c r="R33" i="2"/>
  <c r="R26" i="2"/>
  <c r="S23" i="2" s="1"/>
  <c r="S24" i="2" l="1"/>
  <c r="S30" i="2" s="1"/>
  <c r="S31" i="2" s="1"/>
  <c r="S25" i="2" l="1"/>
  <c r="S27" i="2" l="1"/>
  <c r="S26" i="2"/>
  <c r="T23" i="2" s="1"/>
  <c r="S33" i="2"/>
  <c r="T24" i="2" l="1"/>
  <c r="T30" i="2" l="1"/>
  <c r="T31" i="2" s="1"/>
  <c r="T25" i="2"/>
  <c r="T26" i="2" s="1"/>
  <c r="U23" i="2" s="1"/>
  <c r="U24" i="2" l="1"/>
  <c r="U30" i="2" s="1"/>
  <c r="U31" i="2" s="1"/>
  <c r="T27" i="2"/>
  <c r="T33" i="2"/>
  <c r="U25" i="2" l="1"/>
  <c r="U33" i="2" l="1"/>
  <c r="U27" i="2"/>
  <c r="U26" i="2"/>
  <c r="V23" i="2" s="1"/>
  <c r="V24" i="2" l="1"/>
  <c r="V30" i="2" s="1"/>
  <c r="V31" i="2" s="1"/>
  <c r="V25" i="2" l="1"/>
  <c r="V27" i="2" l="1"/>
  <c r="V33" i="2"/>
  <c r="V26" i="2"/>
  <c r="W23" i="2" s="1"/>
  <c r="W24" i="2" l="1"/>
  <c r="W30" i="2" s="1"/>
  <c r="W31" i="2" s="1"/>
  <c r="W25" i="2" l="1"/>
  <c r="W33" i="2" l="1"/>
  <c r="W27" i="2"/>
  <c r="W26" i="2"/>
  <c r="X23" i="2" s="1"/>
  <c r="X24" i="2" l="1"/>
  <c r="X30" i="2" s="1"/>
  <c r="X31" i="2" s="1"/>
  <c r="X25" i="2" l="1"/>
  <c r="X27" i="2" l="1"/>
  <c r="X33" i="2"/>
  <c r="X26" i="2"/>
  <c r="Y23" i="2" s="1"/>
  <c r="Y24" i="2" l="1"/>
  <c r="Y30" i="2" l="1"/>
  <c r="Y31" i="2" s="1"/>
  <c r="Y25" i="2"/>
  <c r="Y33" i="2" l="1"/>
  <c r="Y27" i="2"/>
  <c r="Y26" i="2"/>
  <c r="Z23" i="2" s="1"/>
  <c r="Z24" i="2" l="1"/>
  <c r="Z30" i="2" s="1"/>
  <c r="Z31" i="2" s="1"/>
  <c r="Z25" i="2" l="1"/>
  <c r="Z27" i="2" l="1"/>
  <c r="Z33" i="2"/>
  <c r="Z26" i="2"/>
  <c r="AA23" i="2" s="1"/>
  <c r="AA24" i="2" l="1"/>
  <c r="AA30" i="2" s="1"/>
  <c r="AA31" i="2" s="1"/>
  <c r="AA25" i="2" l="1"/>
  <c r="AA33" i="2" l="1"/>
  <c r="E34" i="2" s="1"/>
  <c r="AA27" i="2"/>
  <c r="AA26" i="2"/>
  <c r="N36" i="2" l="1"/>
  <c r="X36" i="2"/>
  <c r="M36" i="2"/>
  <c r="L36" i="2"/>
  <c r="V36" i="2"/>
  <c r="R36" i="2"/>
  <c r="K36" i="2"/>
  <c r="Q36" i="2"/>
  <c r="O36" i="2"/>
  <c r="J36" i="2"/>
  <c r="Z36" i="2"/>
  <c r="S36" i="2"/>
  <c r="I36" i="2"/>
  <c r="W36" i="2"/>
  <c r="U36" i="2"/>
  <c r="H36" i="2"/>
  <c r="T36" i="2"/>
  <c r="P36" i="2"/>
  <c r="AA36" i="2"/>
  <c r="Y36" i="2"/>
  <c r="G36" i="2"/>
  <c r="E36" i="2"/>
  <c r="F36" i="2"/>
</calcChain>
</file>

<file path=xl/sharedStrings.xml><?xml version="1.0" encoding="utf-8"?>
<sst xmlns="http://schemas.openxmlformats.org/spreadsheetml/2006/main" count="153" uniqueCount="61">
  <si>
    <t>IRR</t>
  </si>
  <si>
    <t>Capacity (MW)</t>
  </si>
  <si>
    <t>Generation (MWh)</t>
  </si>
  <si>
    <t>Fixed Costs ($millions)</t>
  </si>
  <si>
    <t>Variable Costs ($/MWh)</t>
  </si>
  <si>
    <t>Total Costs ($ Millions)</t>
  </si>
  <si>
    <t>EBITDA ($ Millions)</t>
  </si>
  <si>
    <t>Capital costs ($ Millions)</t>
  </si>
  <si>
    <t>Debt open ($ Millions)</t>
  </si>
  <si>
    <t>Interest ($ Millions)</t>
  </si>
  <si>
    <t>Payment ($ Millions)</t>
  </si>
  <si>
    <t>Close ($ Millions)</t>
  </si>
  <si>
    <t>Principle pmt ($ Millions)</t>
  </si>
  <si>
    <t>Depreciation Expense ($ Millions)</t>
  </si>
  <si>
    <t>Taxable income ($ Millions)</t>
  </si>
  <si>
    <t>Tax rate</t>
  </si>
  <si>
    <t>Carbon credit rate (t/MWh)</t>
  </si>
  <si>
    <t>Carbon price ($/t)</t>
  </si>
  <si>
    <t>LCOE calculated ($/MWh)</t>
  </si>
  <si>
    <t>Electricity Revenue ($/MWh)</t>
  </si>
  <si>
    <t>Carbon credits (t)</t>
  </si>
  <si>
    <t>Carbon price</t>
  </si>
  <si>
    <t>Carbon price escalation</t>
  </si>
  <si>
    <t>Carbon credit decay</t>
  </si>
  <si>
    <t>GHG policy revenue</t>
  </si>
  <si>
    <t>Electricity Revenue ($millions)</t>
  </si>
  <si>
    <t>Gross Revenue ($ millions)</t>
  </si>
  <si>
    <t>Year</t>
  </si>
  <si>
    <t>OCC ($/kW)</t>
  </si>
  <si>
    <t>Capital Expense ($ millions)</t>
  </si>
  <si>
    <t>Debt share (%)</t>
  </si>
  <si>
    <t>Debt costs (%)</t>
  </si>
  <si>
    <t>Debt issue</t>
  </si>
  <si>
    <t>Equity capital outlay</t>
  </si>
  <si>
    <t>After tax cash flow ($ millions)</t>
  </si>
  <si>
    <t>Taxes (net, $ millions)</t>
  </si>
  <si>
    <t>Capacity factor (%)</t>
  </si>
  <si>
    <t>Fixed costs ($ millions)</t>
  </si>
  <si>
    <t>Variable costs ($/MWh)</t>
  </si>
  <si>
    <t>Fuel Costs ($/MWh)</t>
  </si>
  <si>
    <t>Carbon Costs ($/MWh)</t>
  </si>
  <si>
    <t>Heat rate (GJ/MWh)</t>
  </si>
  <si>
    <t>Fixed Costs ($/kW)</t>
  </si>
  <si>
    <t>Gas price</t>
  </si>
  <si>
    <t>Gas price ($/GJ)</t>
  </si>
  <si>
    <t>Emissions (t/MWh)</t>
  </si>
  <si>
    <t>Gas costs ($/MWh)</t>
  </si>
  <si>
    <t>Other Variable costs ($/MWh)</t>
  </si>
  <si>
    <t>Emissions (t/GJ)</t>
  </si>
  <si>
    <t>Commodity price escalation</t>
  </si>
  <si>
    <t>GHG policy revenue ($ million)</t>
  </si>
  <si>
    <t>Total Variable Costs ($ MWh)</t>
  </si>
  <si>
    <t>Carbon pircing on</t>
  </si>
  <si>
    <t>Net carbon costs</t>
  </si>
  <si>
    <t>GHG policy revenue ($ /MWh)</t>
  </si>
  <si>
    <t>Carbon credits (t/MWh)</t>
  </si>
  <si>
    <t>Lev cap cost</t>
  </si>
  <si>
    <t>Lev op cost</t>
  </si>
  <si>
    <t>Lev carbon cost</t>
  </si>
  <si>
    <t>Op Costs</t>
  </si>
  <si>
    <t>Carbon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</si>
</sst>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9" fontId="0" fillId="0" borderId="0" xfId="2" applyFont="1"/>
    <xf numFmtId="9" fontId="0" fillId="0" borderId="0" xfId="0" applyNumberFormat="1"/>
    <xf numFmtId="2" fontId="0" fillId="0" borderId="0" xfId="0" applyNumberFormat="1"/>
    <xf numFmtId="1" fontId="0" fillId="0" borderId="0" xfId="0" applyNumberFormat="1"/>
    <xf numFmtId="2" fontId="0" fillId="0" borderId="0" xfId="1" applyNumberFormat="1" applyFont="1"/>
    <xf numFmtId="0" fontId="2" fillId="0" borderId="0" xfId="0" applyFont="1"/>
    <xf numFmtId="2" fontId="2" fillId="0" borderId="0" xfId="0" applyNumberFormat="1" applyFont="1"/>
    <xf numFmtId="10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workbookViewId="0">
      <selection activeCell="B21" sqref="B21"/>
    </sheetView>
  </sheetViews>
  <sheetFormatPr defaultRowHeight="14.5" x14ac:dyDescent="0.35"/>
  <cols>
    <col min="1" max="1" width="24.36328125" customWidth="1"/>
    <col min="2" max="2" width="12" customWidth="1"/>
    <col min="3" max="3" width="6.1796875" customWidth="1"/>
    <col min="4" max="4" width="29.7265625" customWidth="1"/>
    <col min="8" max="8" width="11.453125" bestFit="1" customWidth="1"/>
    <col min="9" max="27" width="11.36328125" bestFit="1" customWidth="1"/>
  </cols>
  <sheetData>
    <row r="1" spans="1:27" x14ac:dyDescent="0.35">
      <c r="A1" t="s">
        <v>1</v>
      </c>
      <c r="B1">
        <v>800</v>
      </c>
      <c r="D1" t="s">
        <v>27</v>
      </c>
      <c r="E1">
        <v>1</v>
      </c>
      <c r="F1">
        <v>2</v>
      </c>
      <c r="G1">
        <v>3</v>
      </c>
      <c r="H1">
        <v>4</v>
      </c>
      <c r="I1">
        <v>5</v>
      </c>
      <c r="J1">
        <v>6</v>
      </c>
      <c r="K1">
        <v>7</v>
      </c>
      <c r="L1">
        <v>8</v>
      </c>
      <c r="M1">
        <v>9</v>
      </c>
      <c r="N1">
        <v>10</v>
      </c>
      <c r="O1">
        <v>11</v>
      </c>
      <c r="P1">
        <v>12</v>
      </c>
      <c r="Q1">
        <v>13</v>
      </c>
      <c r="R1">
        <v>14</v>
      </c>
      <c r="S1">
        <v>15</v>
      </c>
      <c r="T1">
        <v>16</v>
      </c>
      <c r="U1">
        <v>17</v>
      </c>
      <c r="V1">
        <v>18</v>
      </c>
      <c r="W1">
        <v>19</v>
      </c>
      <c r="X1">
        <v>20</v>
      </c>
      <c r="Y1">
        <v>21</v>
      </c>
      <c r="Z1">
        <v>22</v>
      </c>
      <c r="AA1">
        <v>23</v>
      </c>
    </row>
    <row r="2" spans="1:27" x14ac:dyDescent="0.35">
      <c r="A2" t="s">
        <v>36</v>
      </c>
      <c r="B2">
        <v>1</v>
      </c>
      <c r="D2" t="s">
        <v>1</v>
      </c>
      <c r="E2">
        <f>$B$1</f>
        <v>800</v>
      </c>
      <c r="F2">
        <f t="shared" ref="F2:AA2" si="0">$B$1</f>
        <v>800</v>
      </c>
      <c r="G2">
        <f t="shared" si="0"/>
        <v>800</v>
      </c>
      <c r="H2">
        <f>$B$1</f>
        <v>800</v>
      </c>
      <c r="I2">
        <f t="shared" si="0"/>
        <v>800</v>
      </c>
      <c r="J2">
        <f t="shared" si="0"/>
        <v>800</v>
      </c>
      <c r="K2">
        <f t="shared" si="0"/>
        <v>800</v>
      </c>
      <c r="L2">
        <f t="shared" si="0"/>
        <v>800</v>
      </c>
      <c r="M2">
        <f t="shared" si="0"/>
        <v>800</v>
      </c>
      <c r="N2">
        <f t="shared" si="0"/>
        <v>800</v>
      </c>
      <c r="O2">
        <f t="shared" si="0"/>
        <v>800</v>
      </c>
      <c r="P2">
        <f t="shared" si="0"/>
        <v>800</v>
      </c>
      <c r="Q2">
        <f t="shared" si="0"/>
        <v>800</v>
      </c>
      <c r="R2">
        <f t="shared" si="0"/>
        <v>800</v>
      </c>
      <c r="S2">
        <f t="shared" si="0"/>
        <v>800</v>
      </c>
      <c r="T2">
        <f t="shared" si="0"/>
        <v>800</v>
      </c>
      <c r="U2">
        <f t="shared" si="0"/>
        <v>800</v>
      </c>
      <c r="V2">
        <f t="shared" si="0"/>
        <v>800</v>
      </c>
      <c r="W2">
        <f t="shared" si="0"/>
        <v>800</v>
      </c>
      <c r="X2">
        <f t="shared" si="0"/>
        <v>800</v>
      </c>
      <c r="Y2">
        <f t="shared" si="0"/>
        <v>800</v>
      </c>
      <c r="Z2">
        <f t="shared" si="0"/>
        <v>800</v>
      </c>
      <c r="AA2">
        <f t="shared" si="0"/>
        <v>800</v>
      </c>
    </row>
    <row r="3" spans="1:27" x14ac:dyDescent="0.35">
      <c r="A3" t="s">
        <v>42</v>
      </c>
      <c r="B3">
        <v>29.23</v>
      </c>
      <c r="D3" t="s">
        <v>2</v>
      </c>
      <c r="E3">
        <v>0</v>
      </c>
      <c r="F3">
        <v>0</v>
      </c>
      <c r="G3">
        <v>0</v>
      </c>
      <c r="H3">
        <f>H2*$B$2*8760</f>
        <v>7008000</v>
      </c>
      <c r="I3">
        <f t="shared" ref="I3:AA3" si="1">I2*$B$2*8760</f>
        <v>7008000</v>
      </c>
      <c r="J3">
        <f t="shared" si="1"/>
        <v>7008000</v>
      </c>
      <c r="K3">
        <f t="shared" si="1"/>
        <v>7008000</v>
      </c>
      <c r="L3">
        <f t="shared" si="1"/>
        <v>7008000</v>
      </c>
      <c r="M3">
        <f t="shared" si="1"/>
        <v>7008000</v>
      </c>
      <c r="N3">
        <f t="shared" si="1"/>
        <v>7008000</v>
      </c>
      <c r="O3">
        <f t="shared" si="1"/>
        <v>7008000</v>
      </c>
      <c r="P3">
        <f t="shared" si="1"/>
        <v>7008000</v>
      </c>
      <c r="Q3">
        <f t="shared" si="1"/>
        <v>7008000</v>
      </c>
      <c r="R3">
        <f t="shared" si="1"/>
        <v>7008000</v>
      </c>
      <c r="S3">
        <f t="shared" si="1"/>
        <v>7008000</v>
      </c>
      <c r="T3">
        <f t="shared" si="1"/>
        <v>7008000</v>
      </c>
      <c r="U3">
        <f t="shared" si="1"/>
        <v>7008000</v>
      </c>
      <c r="V3">
        <f t="shared" si="1"/>
        <v>7008000</v>
      </c>
      <c r="W3">
        <f t="shared" si="1"/>
        <v>7008000</v>
      </c>
      <c r="X3">
        <f t="shared" si="1"/>
        <v>7008000</v>
      </c>
      <c r="Y3">
        <f t="shared" si="1"/>
        <v>7008000</v>
      </c>
      <c r="Z3">
        <f t="shared" si="1"/>
        <v>7008000</v>
      </c>
      <c r="AA3">
        <f t="shared" si="1"/>
        <v>7008000</v>
      </c>
    </row>
    <row r="4" spans="1:27" x14ac:dyDescent="0.35">
      <c r="A4" t="s">
        <v>37</v>
      </c>
      <c r="B4">
        <f>B3*B1/1000</f>
        <v>23.384</v>
      </c>
      <c r="D4" t="s">
        <v>19</v>
      </c>
      <c r="E4" s="3">
        <f>$B$32*(1+$B$12)^(E1-1)</f>
        <v>65.249884705677474</v>
      </c>
      <c r="F4" s="3">
        <f t="shared" ref="F4:AA4" si="2">$B$32*(1+$B$12)^(F1-1)</f>
        <v>66.554882399791026</v>
      </c>
      <c r="G4" s="3">
        <f t="shared" si="2"/>
        <v>67.885980047786845</v>
      </c>
      <c r="H4" s="3">
        <f t="shared" si="2"/>
        <v>69.243699648742577</v>
      </c>
      <c r="I4" s="3">
        <f t="shared" si="2"/>
        <v>70.628573641717423</v>
      </c>
      <c r="J4" s="3">
        <f t="shared" si="2"/>
        <v>72.041145114551782</v>
      </c>
      <c r="K4" s="3">
        <f t="shared" si="2"/>
        <v>73.481968016842828</v>
      </c>
      <c r="L4" s="3">
        <f t="shared" si="2"/>
        <v>74.951607377179656</v>
      </c>
      <c r="M4" s="3">
        <f t="shared" si="2"/>
        <v>76.450639524723258</v>
      </c>
      <c r="N4" s="3">
        <f t="shared" si="2"/>
        <v>77.97965231521772</v>
      </c>
      <c r="O4" s="3">
        <f t="shared" si="2"/>
        <v>79.539245361522077</v>
      </c>
      <c r="P4" s="3">
        <f t="shared" si="2"/>
        <v>81.130030268752506</v>
      </c>
      <c r="Q4" s="3">
        <f t="shared" si="2"/>
        <v>82.752630874127576</v>
      </c>
      <c r="R4" s="3">
        <f t="shared" si="2"/>
        <v>84.407683491610115</v>
      </c>
      <c r="S4" s="3">
        <f t="shared" si="2"/>
        <v>86.095837161442333</v>
      </c>
      <c r="T4" s="3">
        <f t="shared" si="2"/>
        <v>87.81775390467115</v>
      </c>
      <c r="U4" s="3">
        <f t="shared" si="2"/>
        <v>89.574108982764599</v>
      </c>
      <c r="V4" s="3">
        <f t="shared" si="2"/>
        <v>91.365591162419889</v>
      </c>
      <c r="W4" s="3">
        <f t="shared" si="2"/>
        <v>93.192902985668283</v>
      </c>
      <c r="X4" s="3">
        <f t="shared" si="2"/>
        <v>95.056761045381649</v>
      </c>
      <c r="Y4" s="3">
        <f t="shared" si="2"/>
        <v>96.957896266289282</v>
      </c>
      <c r="Z4" s="3">
        <f t="shared" si="2"/>
        <v>98.897054191615069</v>
      </c>
      <c r="AA4" s="3">
        <f t="shared" si="2"/>
        <v>100.87499527544738</v>
      </c>
    </row>
    <row r="5" spans="1:27" x14ac:dyDescent="0.35">
      <c r="D5" t="s">
        <v>25</v>
      </c>
      <c r="E5" s="3">
        <f t="shared" ref="E5:AA5" si="3">E3*E4/10^6</f>
        <v>0</v>
      </c>
      <c r="F5" s="3">
        <f t="shared" si="3"/>
        <v>0</v>
      </c>
      <c r="G5" s="3">
        <f t="shared" si="3"/>
        <v>0</v>
      </c>
      <c r="H5" s="3">
        <f t="shared" si="3"/>
        <v>485.25984713838795</v>
      </c>
      <c r="I5" s="3">
        <f t="shared" si="3"/>
        <v>494.96504408115572</v>
      </c>
      <c r="J5" s="3">
        <f t="shared" si="3"/>
        <v>504.86434496277889</v>
      </c>
      <c r="K5" s="3">
        <f t="shared" si="3"/>
        <v>514.96163186203455</v>
      </c>
      <c r="L5" s="3">
        <f t="shared" si="3"/>
        <v>525.26086449927504</v>
      </c>
      <c r="M5" s="3">
        <f t="shared" si="3"/>
        <v>535.76608178926051</v>
      </c>
      <c r="N5" s="3">
        <f t="shared" si="3"/>
        <v>546.48140342504576</v>
      </c>
      <c r="O5" s="3">
        <f t="shared" si="3"/>
        <v>557.41103149354672</v>
      </c>
      <c r="P5" s="3">
        <f t="shared" si="3"/>
        <v>568.55925212341765</v>
      </c>
      <c r="Q5" s="3">
        <f t="shared" si="3"/>
        <v>579.93043716588602</v>
      </c>
      <c r="R5" s="3">
        <f t="shared" si="3"/>
        <v>591.52904590920366</v>
      </c>
      <c r="S5" s="3">
        <f t="shared" si="3"/>
        <v>603.35962682738784</v>
      </c>
      <c r="T5" s="3">
        <f t="shared" si="3"/>
        <v>615.42681936393546</v>
      </c>
      <c r="U5" s="3">
        <f t="shared" si="3"/>
        <v>627.73535575121423</v>
      </c>
      <c r="V5" s="3">
        <f t="shared" si="3"/>
        <v>640.2900628662386</v>
      </c>
      <c r="W5" s="3">
        <f t="shared" si="3"/>
        <v>653.09586412356327</v>
      </c>
      <c r="X5" s="3">
        <f t="shared" si="3"/>
        <v>666.15778140603459</v>
      </c>
      <c r="Y5" s="3">
        <f t="shared" si="3"/>
        <v>679.4809370341552</v>
      </c>
      <c r="Z5" s="3">
        <f t="shared" si="3"/>
        <v>693.07055577483845</v>
      </c>
      <c r="AA5" s="3">
        <f t="shared" si="3"/>
        <v>706.93196689033516</v>
      </c>
    </row>
    <row r="6" spans="1:27" x14ac:dyDescent="0.35">
      <c r="A6" t="s">
        <v>28</v>
      </c>
      <c r="B6">
        <v>1867</v>
      </c>
      <c r="C6" s="1"/>
      <c r="D6" t="s">
        <v>20</v>
      </c>
      <c r="E6" s="3">
        <f>$B$21*E3*(1-$B$24)^E1</f>
        <v>0</v>
      </c>
      <c r="F6" s="3">
        <f>$B$21*F3*(1-$B$24)^F1</f>
        <v>0</v>
      </c>
      <c r="G6" s="3">
        <f>$B$21*G3*(1-$B$24)^G1</f>
        <v>0</v>
      </c>
      <c r="H6" s="3">
        <f>$B$21*H3*(1-$B$24)^H1</f>
        <v>2391663.7441535997</v>
      </c>
      <c r="I6" s="3">
        <f>$B$21*I3*(1-$B$24)^I1</f>
        <v>2343830.4692705274</v>
      </c>
      <c r="J6" s="3">
        <f>$B$21*J3*(1-$B$24)^J1</f>
        <v>2296953.859885117</v>
      </c>
      <c r="K6" s="3">
        <f>$B$21*K3*(1-$B$24)^K1</f>
        <v>2251014.7826874144</v>
      </c>
      <c r="L6" s="3">
        <f>$B$21*L3*(1-$B$24)^L1</f>
        <v>2205994.4870336661</v>
      </c>
      <c r="M6" s="3">
        <f>$B$21*M3*(1-$B$24)^M1</f>
        <v>2161874.5972929928</v>
      </c>
      <c r="N6" s="3">
        <f>$B$21*N3*(1-$B$24)^N1</f>
        <v>2118637.1053471328</v>
      </c>
      <c r="O6" s="3">
        <f>$B$21*O3*(1-$B$24)^O1</f>
        <v>2076264.3632401901</v>
      </c>
      <c r="P6" s="3">
        <f>$B$21*P3*(1-$B$24)^P1</f>
        <v>2034739.0759753862</v>
      </c>
      <c r="Q6" s="3">
        <f>$B$21*Q3*(1-$B$24)^Q1</f>
        <v>1994044.2944558784</v>
      </c>
      <c r="R6" s="3">
        <f>$B$21*R3*(1-$B$24)^R1</f>
        <v>1954163.4085667608</v>
      </c>
      <c r="S6" s="3">
        <f>$B$21*S3*(1-$B$24)^S1</f>
        <v>1915080.1403954255</v>
      </c>
      <c r="T6" s="3">
        <f>$B$21*T3*(1-$B$24)^T1</f>
        <v>1876778.5375875172</v>
      </c>
      <c r="U6" s="3">
        <f>$B$21*U3*(1-$B$24)^U1</f>
        <v>1839242.9668357668</v>
      </c>
      <c r="V6" s="3">
        <f>$B$21*V3*(1-$B$24)^V1</f>
        <v>1802458.1074990514</v>
      </c>
      <c r="W6" s="3">
        <f>$B$21*W3*(1-$B$24)^W1</f>
        <v>1766408.9453490702</v>
      </c>
      <c r="X6" s="3">
        <f>$B$21*X3*(1-$B$24)^X1</f>
        <v>1731080.7664420889</v>
      </c>
      <c r="Y6" s="3">
        <f>$B$21*Y3*(1-$B$24)^Y1</f>
        <v>1696459.151113247</v>
      </c>
      <c r="Z6" s="3">
        <f>$B$21*Z3*(1-$B$24)^Z1</f>
        <v>1662529.9680909819</v>
      </c>
      <c r="AA6" s="3">
        <f>$B$21*AA3*(1-$B$24)^AA1</f>
        <v>1629279.3687291623</v>
      </c>
    </row>
    <row r="7" spans="1:27" x14ac:dyDescent="0.35">
      <c r="A7" t="s">
        <v>29</v>
      </c>
      <c r="B7">
        <f>B6*B1/1000</f>
        <v>1493.6</v>
      </c>
      <c r="C7" s="1"/>
      <c r="D7" t="s">
        <v>21</v>
      </c>
      <c r="E7" s="3">
        <v>40</v>
      </c>
      <c r="F7" s="3">
        <v>50</v>
      </c>
      <c r="G7" s="3">
        <v>65</v>
      </c>
      <c r="H7" s="3">
        <f>G7+15</f>
        <v>80</v>
      </c>
      <c r="I7" s="3">
        <f t="shared" ref="I7:N7" si="4">H7+15</f>
        <v>95</v>
      </c>
      <c r="J7" s="3">
        <f t="shared" si="4"/>
        <v>110</v>
      </c>
      <c r="K7" s="3">
        <f t="shared" si="4"/>
        <v>125</v>
      </c>
      <c r="L7" s="3">
        <f t="shared" si="4"/>
        <v>140</v>
      </c>
      <c r="M7" s="3">
        <f t="shared" si="4"/>
        <v>155</v>
      </c>
      <c r="N7" s="3">
        <f t="shared" si="4"/>
        <v>170</v>
      </c>
      <c r="O7" s="3">
        <f>N7*(1+$B$24)</f>
        <v>173.4</v>
      </c>
      <c r="P7" s="3">
        <f t="shared" ref="P7:AA7" si="5">O7*(1+$B$24)</f>
        <v>176.86799999999999</v>
      </c>
      <c r="Q7" s="3">
        <f t="shared" si="5"/>
        <v>180.40536</v>
      </c>
      <c r="R7" s="3">
        <f t="shared" si="5"/>
        <v>184.01346720000001</v>
      </c>
      <c r="S7" s="3">
        <f t="shared" si="5"/>
        <v>187.69373654400002</v>
      </c>
      <c r="T7" s="3">
        <f t="shared" si="5"/>
        <v>191.44761127488002</v>
      </c>
      <c r="U7" s="3">
        <f t="shared" si="5"/>
        <v>195.27656350037762</v>
      </c>
      <c r="V7" s="3">
        <f t="shared" si="5"/>
        <v>199.18209477038516</v>
      </c>
      <c r="W7" s="3">
        <f t="shared" si="5"/>
        <v>203.16573666579288</v>
      </c>
      <c r="X7" s="3">
        <f t="shared" si="5"/>
        <v>207.22905139910873</v>
      </c>
      <c r="Y7" s="3">
        <f t="shared" si="5"/>
        <v>211.37363242709091</v>
      </c>
      <c r="Z7" s="3">
        <f t="shared" si="5"/>
        <v>215.60110507563274</v>
      </c>
      <c r="AA7" s="3">
        <f t="shared" si="5"/>
        <v>219.91312717714541</v>
      </c>
    </row>
    <row r="8" spans="1:27" x14ac:dyDescent="0.35">
      <c r="A8" t="s">
        <v>30</v>
      </c>
      <c r="B8" s="1">
        <v>0.6</v>
      </c>
      <c r="D8" t="s">
        <v>50</v>
      </c>
      <c r="E8" s="3">
        <f>E6*E7/10^6*$B$20</f>
        <v>0</v>
      </c>
      <c r="F8" s="3">
        <f t="shared" ref="F8:AA8" si="6">F6*F7/10^6*$B$20</f>
        <v>0</v>
      </c>
      <c r="G8" s="3">
        <f t="shared" si="6"/>
        <v>0</v>
      </c>
      <c r="H8" s="3">
        <f t="shared" si="6"/>
        <v>191.33309953228797</v>
      </c>
      <c r="I8" s="3">
        <f t="shared" si="6"/>
        <v>222.66389458070009</v>
      </c>
      <c r="J8" s="3">
        <f t="shared" si="6"/>
        <v>252.66492458736289</v>
      </c>
      <c r="K8" s="3">
        <f t="shared" si="6"/>
        <v>281.37684783592681</v>
      </c>
      <c r="L8" s="3">
        <f t="shared" si="6"/>
        <v>308.83922818471325</v>
      </c>
      <c r="M8" s="3">
        <f t="shared" si="6"/>
        <v>335.09056258041386</v>
      </c>
      <c r="N8" s="3">
        <f t="shared" si="6"/>
        <v>360.16830790901258</v>
      </c>
      <c r="O8" s="3">
        <f t="shared" si="6"/>
        <v>360.02424058584899</v>
      </c>
      <c r="P8" s="3">
        <f t="shared" si="6"/>
        <v>359.88023088961461</v>
      </c>
      <c r="Q8" s="3">
        <f t="shared" si="6"/>
        <v>359.73627879725876</v>
      </c>
      <c r="R8" s="3">
        <f t="shared" si="6"/>
        <v>359.59238428573985</v>
      </c>
      <c r="S8" s="3">
        <f t="shared" si="6"/>
        <v>359.44854733202561</v>
      </c>
      <c r="T8" s="3">
        <f t="shared" si="6"/>
        <v>359.3047679130928</v>
      </c>
      <c r="U8" s="3">
        <f t="shared" si="6"/>
        <v>359.16104600592757</v>
      </c>
      <c r="V8" s="3">
        <f t="shared" si="6"/>
        <v>359.01738158752511</v>
      </c>
      <c r="W8" s="3">
        <f t="shared" si="6"/>
        <v>358.87377463489014</v>
      </c>
      <c r="X8" s="3">
        <f t="shared" si="6"/>
        <v>358.73022512503616</v>
      </c>
      <c r="Y8" s="3">
        <f t="shared" si="6"/>
        <v>358.58673303498614</v>
      </c>
      <c r="Z8" s="3">
        <f t="shared" si="6"/>
        <v>358.44329834177216</v>
      </c>
      <c r="AA8" s="3">
        <f t="shared" si="6"/>
        <v>358.2999210224354</v>
      </c>
    </row>
    <row r="9" spans="1:27" x14ac:dyDescent="0.35">
      <c r="A9" t="s">
        <v>31</v>
      </c>
      <c r="B9" s="1">
        <v>0.08</v>
      </c>
      <c r="D9" t="s">
        <v>26</v>
      </c>
      <c r="E9" s="3">
        <f>E5+E8</f>
        <v>0</v>
      </c>
      <c r="F9" s="3">
        <f>F5+F8</f>
        <v>0</v>
      </c>
      <c r="G9" s="3">
        <f>G5+G8</f>
        <v>0</v>
      </c>
      <c r="H9" s="3">
        <f>H5+H8</f>
        <v>676.59294667067593</v>
      </c>
      <c r="I9" s="3">
        <f>I5+I8</f>
        <v>717.62893866185584</v>
      </c>
      <c r="J9" s="3">
        <f>J5+J8</f>
        <v>757.52926955014175</v>
      </c>
      <c r="K9" s="3">
        <f>K5+K8</f>
        <v>796.33847969796136</v>
      </c>
      <c r="L9" s="3">
        <f>L5+L8</f>
        <v>834.10009268398835</v>
      </c>
      <c r="M9" s="3">
        <f>M5+M8</f>
        <v>870.85664436967431</v>
      </c>
      <c r="N9" s="3">
        <f>N5+N8</f>
        <v>906.64971133405834</v>
      </c>
      <c r="O9" s="3">
        <f>O5+O8</f>
        <v>917.43527207939565</v>
      </c>
      <c r="P9" s="3">
        <f>P5+P8</f>
        <v>928.43948301303226</v>
      </c>
      <c r="Q9" s="3">
        <f>Q5+Q8</f>
        <v>939.66671596314472</v>
      </c>
      <c r="R9" s="3">
        <f>R5+R8</f>
        <v>951.12143019494351</v>
      </c>
      <c r="S9" s="3">
        <f>S5+S8</f>
        <v>962.80817415941351</v>
      </c>
      <c r="T9" s="3">
        <f>T5+T8</f>
        <v>974.73158727702821</v>
      </c>
      <c r="U9" s="3">
        <f>U5+U8</f>
        <v>986.8964017571418</v>
      </c>
      <c r="V9" s="3">
        <f>V5+V8</f>
        <v>999.30744445376376</v>
      </c>
      <c r="W9" s="3">
        <f>W5+W8</f>
        <v>1011.9696387584534</v>
      </c>
      <c r="X9" s="3">
        <f>X5+X8</f>
        <v>1024.8880065310707</v>
      </c>
      <c r="Y9" s="3">
        <f>Y5+Y8</f>
        <v>1038.0676700691413</v>
      </c>
      <c r="Z9" s="3">
        <f>Z5+Z8</f>
        <v>1051.5138541166107</v>
      </c>
      <c r="AA9" s="3">
        <f>AA5+AA8</f>
        <v>1065.2318879127706</v>
      </c>
    </row>
    <row r="10" spans="1:27" x14ac:dyDescent="0.35">
      <c r="A10" t="s">
        <v>41</v>
      </c>
      <c r="B10">
        <v>7.2</v>
      </c>
      <c r="D10" t="s">
        <v>3</v>
      </c>
      <c r="E10">
        <v>0</v>
      </c>
      <c r="F10">
        <v>0</v>
      </c>
      <c r="G10">
        <v>0</v>
      </c>
      <c r="H10" s="3">
        <f>$B$4</f>
        <v>23.384</v>
      </c>
      <c r="I10" s="3">
        <f>$B$4</f>
        <v>23.384</v>
      </c>
      <c r="J10" s="3">
        <f>$B$4</f>
        <v>23.384</v>
      </c>
      <c r="K10" s="3">
        <f>$B$4</f>
        <v>23.384</v>
      </c>
      <c r="L10" s="3">
        <f>$B$4</f>
        <v>23.384</v>
      </c>
      <c r="M10" s="3">
        <f>$B$4</f>
        <v>23.384</v>
      </c>
      <c r="N10" s="3">
        <f>$B$4</f>
        <v>23.384</v>
      </c>
      <c r="O10" s="3">
        <f>$B$4</f>
        <v>23.384</v>
      </c>
      <c r="P10" s="3">
        <f>$B$4</f>
        <v>23.384</v>
      </c>
      <c r="Q10" s="3">
        <f>$B$4</f>
        <v>23.384</v>
      </c>
      <c r="R10" s="3">
        <f>$B$4</f>
        <v>23.384</v>
      </c>
      <c r="S10" s="3">
        <f>$B$4</f>
        <v>23.384</v>
      </c>
      <c r="T10" s="3">
        <f>$B$4</f>
        <v>23.384</v>
      </c>
      <c r="U10" s="3">
        <f>$B$4</f>
        <v>23.384</v>
      </c>
      <c r="V10" s="3">
        <f>$B$4</f>
        <v>23.384</v>
      </c>
      <c r="W10" s="3">
        <f>$B$4</f>
        <v>23.384</v>
      </c>
      <c r="X10" s="3">
        <f>$B$4</f>
        <v>23.384</v>
      </c>
      <c r="Y10" s="3">
        <f>$B$4</f>
        <v>23.384</v>
      </c>
      <c r="Z10" s="3">
        <f>$B$4</f>
        <v>23.384</v>
      </c>
      <c r="AA10" s="3">
        <f>$B$4</f>
        <v>23.384</v>
      </c>
    </row>
    <row r="11" spans="1:27" x14ac:dyDescent="0.35">
      <c r="A11" t="s">
        <v>44</v>
      </c>
      <c r="B11">
        <v>3</v>
      </c>
      <c r="D11" t="s">
        <v>43</v>
      </c>
      <c r="E11" s="3">
        <f>$B$11*(1+$B$12)^(E1-1)</f>
        <v>3</v>
      </c>
      <c r="F11" s="3">
        <f>$B$11*(1+$B$12)^(F1-1)</f>
        <v>3.06</v>
      </c>
      <c r="G11" s="3">
        <f>$B$11*(1+$B$12)^(G1-1)</f>
        <v>3.1212</v>
      </c>
      <c r="H11" s="3">
        <f>$B$11*(1+$B$12)^(H1-1)</f>
        <v>3.183624</v>
      </c>
      <c r="I11" s="3">
        <f>$B$11*(1+$B$12)^(I1-1)</f>
        <v>3.2472964800000002</v>
      </c>
      <c r="J11" s="3">
        <f>$B$11*(1+$B$12)^(J1-1)</f>
        <v>3.3122424096</v>
      </c>
      <c r="K11" s="3">
        <f>$B$11*(1+$B$12)^(K1-1)</f>
        <v>3.378487257792</v>
      </c>
      <c r="L11" s="3">
        <f>$B$11*(1+$B$12)^(L1-1)</f>
        <v>3.4460570029478395</v>
      </c>
      <c r="M11" s="3">
        <f>$B$11*(1+$B$12)^(M1-1)</f>
        <v>3.5149781430067968</v>
      </c>
      <c r="N11" s="3">
        <f>$B$11*(1+$B$12)^(N1-1)</f>
        <v>3.5852777058669325</v>
      </c>
      <c r="O11" s="3">
        <f>$B$11*(1+$B$12)^(O1-1)</f>
        <v>3.6569832599842713</v>
      </c>
      <c r="P11" s="3">
        <f>$B$11*(1+$B$12)^(P1-1)</f>
        <v>3.7301229251839558</v>
      </c>
      <c r="Q11" s="3">
        <f>$B$11*(1+$B$12)^(Q1-1)</f>
        <v>3.8047253836876358</v>
      </c>
      <c r="R11" s="3">
        <f>$B$11*(1+$B$12)^(R1-1)</f>
        <v>3.8808198913613881</v>
      </c>
      <c r="S11" s="3">
        <f>$B$11*(1+$B$12)^(S1-1)</f>
        <v>3.9584362891886165</v>
      </c>
      <c r="T11" s="3">
        <f>$B$11*(1+$B$12)^(T1-1)</f>
        <v>4.0376050149723879</v>
      </c>
      <c r="U11" s="3">
        <f>$B$11*(1+$B$12)^(U1-1)</f>
        <v>4.1183571152718361</v>
      </c>
      <c r="V11" s="3">
        <f>$B$11*(1+$B$12)^(V1-1)</f>
        <v>4.2007242575772734</v>
      </c>
      <c r="W11" s="3">
        <f>$B$11*(1+$B$12)^(W1-1)</f>
        <v>4.2847387427288179</v>
      </c>
      <c r="X11" s="3">
        <f>$B$11*(1+$B$12)^(X1-1)</f>
        <v>4.3704335175833942</v>
      </c>
      <c r="Y11" s="3">
        <f>$B$11*(1+$B$12)^(Y1-1)</f>
        <v>4.4578421879350625</v>
      </c>
      <c r="Z11" s="3">
        <f>$B$11*(1+$B$12)^(Z1-1)</f>
        <v>4.5469990316937636</v>
      </c>
      <c r="AA11" s="3">
        <f>$B$11*(1+$B$12)^(AA1-1)</f>
        <v>4.6379390123276387</v>
      </c>
    </row>
    <row r="12" spans="1:27" x14ac:dyDescent="0.35">
      <c r="A12" t="s">
        <v>49</v>
      </c>
      <c r="B12">
        <v>0.02</v>
      </c>
      <c r="D12" t="s">
        <v>39</v>
      </c>
      <c r="E12" s="3">
        <f>$B$10*E11</f>
        <v>21.6</v>
      </c>
      <c r="F12" s="3">
        <f t="shared" ref="F12:AA12" si="7">$B$10*F11</f>
        <v>22.032</v>
      </c>
      <c r="G12" s="3">
        <f t="shared" si="7"/>
        <v>22.472640000000002</v>
      </c>
      <c r="H12" s="3">
        <f t="shared" si="7"/>
        <v>22.922092800000001</v>
      </c>
      <c r="I12" s="3">
        <f t="shared" si="7"/>
        <v>23.380534656000002</v>
      </c>
      <c r="J12" s="3">
        <f t="shared" si="7"/>
        <v>23.848145349119999</v>
      </c>
      <c r="K12" s="3">
        <f t="shared" si="7"/>
        <v>24.3251082561024</v>
      </c>
      <c r="L12" s="3">
        <f t="shared" si="7"/>
        <v>24.811610421224444</v>
      </c>
      <c r="M12" s="3">
        <f t="shared" si="7"/>
        <v>25.307842629648938</v>
      </c>
      <c r="N12" s="3">
        <f t="shared" si="7"/>
        <v>25.813999482241915</v>
      </c>
      <c r="O12" s="3">
        <f t="shared" si="7"/>
        <v>26.330279471886755</v>
      </c>
      <c r="P12" s="3">
        <f t="shared" si="7"/>
        <v>26.856885061324483</v>
      </c>
      <c r="Q12" s="3">
        <f t="shared" si="7"/>
        <v>27.394022762550978</v>
      </c>
      <c r="R12" s="3">
        <f t="shared" si="7"/>
        <v>27.941903217801993</v>
      </c>
      <c r="S12" s="3">
        <f t="shared" si="7"/>
        <v>28.500741282158039</v>
      </c>
      <c r="T12" s="3">
        <f t="shared" si="7"/>
        <v>29.070756107801195</v>
      </c>
      <c r="U12" s="3">
        <f t="shared" si="7"/>
        <v>29.652171229957222</v>
      </c>
      <c r="V12" s="3">
        <f t="shared" si="7"/>
        <v>30.245214654556371</v>
      </c>
      <c r="W12" s="3">
        <f t="shared" si="7"/>
        <v>30.850118947647491</v>
      </c>
      <c r="X12" s="3">
        <f t="shared" si="7"/>
        <v>31.467121326600438</v>
      </c>
      <c r="Y12" s="3">
        <f t="shared" si="7"/>
        <v>32.096463753132454</v>
      </c>
      <c r="Z12" s="3">
        <f t="shared" si="7"/>
        <v>32.738393028195098</v>
      </c>
      <c r="AA12" s="3">
        <f t="shared" si="7"/>
        <v>33.393160888758999</v>
      </c>
    </row>
    <row r="13" spans="1:27" x14ac:dyDescent="0.35">
      <c r="A13" t="s">
        <v>46</v>
      </c>
      <c r="B13">
        <f>B11*B10</f>
        <v>21.6</v>
      </c>
      <c r="D13" t="s">
        <v>40</v>
      </c>
      <c r="E13" s="3">
        <f>$B$16*E7*$B$20</f>
        <v>15.173448768</v>
      </c>
      <c r="F13" s="3">
        <f t="shared" ref="F13:AA13" si="8">$B$16*F7*$B$20</f>
        <v>18.96681096</v>
      </c>
      <c r="G13" s="3">
        <f t="shared" si="8"/>
        <v>24.656854247999998</v>
      </c>
      <c r="H13" s="3">
        <f t="shared" si="8"/>
        <v>30.346897536</v>
      </c>
      <c r="I13" s="3">
        <f t="shared" si="8"/>
        <v>36.036940823999998</v>
      </c>
      <c r="J13" s="3">
        <f t="shared" si="8"/>
        <v>41.726984111999997</v>
      </c>
      <c r="K13" s="3">
        <f t="shared" si="8"/>
        <v>47.417027400000002</v>
      </c>
      <c r="L13" s="3">
        <f t="shared" si="8"/>
        <v>53.107070688</v>
      </c>
      <c r="M13" s="3">
        <f t="shared" si="8"/>
        <v>58.797113975999999</v>
      </c>
      <c r="N13" s="3">
        <f t="shared" si="8"/>
        <v>64.487157264000004</v>
      </c>
      <c r="O13" s="3">
        <f t="shared" si="8"/>
        <v>65.776900409280003</v>
      </c>
      <c r="P13" s="3">
        <f t="shared" si="8"/>
        <v>67.092438417465601</v>
      </c>
      <c r="Q13" s="3">
        <f t="shared" si="8"/>
        <v>68.43428718581491</v>
      </c>
      <c r="R13" s="3">
        <f t="shared" si="8"/>
        <v>69.802972929531208</v>
      </c>
      <c r="S13" s="3">
        <f t="shared" si="8"/>
        <v>71.199032388121836</v>
      </c>
      <c r="T13" s="3">
        <f t="shared" si="8"/>
        <v>72.62301303588427</v>
      </c>
      <c r="U13" s="3">
        <f t="shared" si="8"/>
        <v>74.075473296601956</v>
      </c>
      <c r="V13" s="3">
        <f t="shared" si="8"/>
        <v>75.556982762533991</v>
      </c>
      <c r="W13" s="3">
        <f t="shared" si="8"/>
        <v>77.068122417784679</v>
      </c>
      <c r="X13" s="3">
        <f t="shared" si="8"/>
        <v>78.609484866140377</v>
      </c>
      <c r="Y13" s="3">
        <f t="shared" si="8"/>
        <v>80.18167456346319</v>
      </c>
      <c r="Z13" s="3">
        <f t="shared" si="8"/>
        <v>81.785308054732454</v>
      </c>
      <c r="AA13" s="3">
        <f t="shared" si="8"/>
        <v>83.421014215827114</v>
      </c>
    </row>
    <row r="14" spans="1:27" x14ac:dyDescent="0.35">
      <c r="A14" t="s">
        <v>47</v>
      </c>
      <c r="B14">
        <v>1</v>
      </c>
      <c r="D14" t="s">
        <v>4</v>
      </c>
      <c r="E14" s="3">
        <f>$B$14</f>
        <v>1</v>
      </c>
      <c r="F14" s="3">
        <f t="shared" ref="F14:AA14" si="9">$B$14</f>
        <v>1</v>
      </c>
      <c r="G14" s="3">
        <f t="shared" si="9"/>
        <v>1</v>
      </c>
      <c r="H14" s="3">
        <f t="shared" si="9"/>
        <v>1</v>
      </c>
      <c r="I14" s="3">
        <f t="shared" si="9"/>
        <v>1</v>
      </c>
      <c r="J14" s="3">
        <f t="shared" si="9"/>
        <v>1</v>
      </c>
      <c r="K14" s="3">
        <f t="shared" si="9"/>
        <v>1</v>
      </c>
      <c r="L14" s="3">
        <f t="shared" si="9"/>
        <v>1</v>
      </c>
      <c r="M14" s="3">
        <f t="shared" si="9"/>
        <v>1</v>
      </c>
      <c r="N14" s="3">
        <f t="shared" si="9"/>
        <v>1</v>
      </c>
      <c r="O14" s="3">
        <f t="shared" si="9"/>
        <v>1</v>
      </c>
      <c r="P14" s="3">
        <f t="shared" si="9"/>
        <v>1</v>
      </c>
      <c r="Q14" s="3">
        <f t="shared" si="9"/>
        <v>1</v>
      </c>
      <c r="R14" s="3">
        <f t="shared" si="9"/>
        <v>1</v>
      </c>
      <c r="S14" s="3">
        <f t="shared" si="9"/>
        <v>1</v>
      </c>
      <c r="T14" s="3">
        <f t="shared" si="9"/>
        <v>1</v>
      </c>
      <c r="U14" s="3">
        <f t="shared" si="9"/>
        <v>1</v>
      </c>
      <c r="V14" s="3">
        <f t="shared" si="9"/>
        <v>1</v>
      </c>
      <c r="W14" s="3">
        <f t="shared" si="9"/>
        <v>1</v>
      </c>
      <c r="X14" s="3">
        <f t="shared" si="9"/>
        <v>1</v>
      </c>
      <c r="Y14" s="3">
        <f t="shared" si="9"/>
        <v>1</v>
      </c>
      <c r="Z14" s="3">
        <f t="shared" si="9"/>
        <v>1</v>
      </c>
      <c r="AA14" s="3">
        <f t="shared" si="9"/>
        <v>1</v>
      </c>
    </row>
    <row r="15" spans="1:27" x14ac:dyDescent="0.35">
      <c r="A15" t="s">
        <v>48</v>
      </c>
      <c r="B15">
        <f>1962*26.853/1000/1000</f>
        <v>5.2685586E-2</v>
      </c>
      <c r="D15" t="s">
        <v>51</v>
      </c>
      <c r="E15" s="3">
        <f>SUM(E12:E14)</f>
        <v>37.773448768000002</v>
      </c>
      <c r="F15" s="3">
        <f t="shared" ref="F15:AA15" si="10">SUM(F12:F14)</f>
        <v>41.99881096</v>
      </c>
      <c r="G15" s="3">
        <f t="shared" si="10"/>
        <v>48.129494248</v>
      </c>
      <c r="H15" s="3">
        <f t="shared" si="10"/>
        <v>54.268990336000002</v>
      </c>
      <c r="I15" s="3">
        <f t="shared" si="10"/>
        <v>60.41747548</v>
      </c>
      <c r="J15" s="3">
        <f t="shared" si="10"/>
        <v>66.57512946112</v>
      </c>
      <c r="K15" s="3">
        <f t="shared" si="10"/>
        <v>72.742135656102406</v>
      </c>
      <c r="L15" s="3">
        <f t="shared" si="10"/>
        <v>78.918681109224451</v>
      </c>
      <c r="M15" s="3">
        <f t="shared" si="10"/>
        <v>85.104956605648937</v>
      </c>
      <c r="N15" s="3">
        <f t="shared" si="10"/>
        <v>91.301156746241915</v>
      </c>
      <c r="O15" s="3">
        <f t="shared" si="10"/>
        <v>93.107179881166758</v>
      </c>
      <c r="P15" s="3">
        <f t="shared" si="10"/>
        <v>94.949323478790092</v>
      </c>
      <c r="Q15" s="3">
        <f t="shared" si="10"/>
        <v>96.828309948365884</v>
      </c>
      <c r="R15" s="3">
        <f t="shared" si="10"/>
        <v>98.744876147333201</v>
      </c>
      <c r="S15" s="3">
        <f t="shared" si="10"/>
        <v>100.69977367027988</v>
      </c>
      <c r="T15" s="3">
        <f t="shared" si="10"/>
        <v>102.69376914368547</v>
      </c>
      <c r="U15" s="3">
        <f t="shared" si="10"/>
        <v>104.72764452655917</v>
      </c>
      <c r="V15" s="3">
        <f t="shared" si="10"/>
        <v>106.80219741709035</v>
      </c>
      <c r="W15" s="3">
        <f t="shared" si="10"/>
        <v>108.91824136543217</v>
      </c>
      <c r="X15" s="3">
        <f t="shared" si="10"/>
        <v>111.07660619274081</v>
      </c>
      <c r="Y15" s="3">
        <f t="shared" si="10"/>
        <v>113.27813831659564</v>
      </c>
      <c r="Z15" s="3">
        <f t="shared" si="10"/>
        <v>115.52370108292754</v>
      </c>
      <c r="AA15" s="3">
        <f t="shared" si="10"/>
        <v>117.81417510458611</v>
      </c>
    </row>
    <row r="16" spans="1:27" x14ac:dyDescent="0.35">
      <c r="A16" t="s">
        <v>45</v>
      </c>
      <c r="B16">
        <f>B15*B10</f>
        <v>0.37933621919999999</v>
      </c>
      <c r="D16" t="s">
        <v>5</v>
      </c>
      <c r="E16" s="3">
        <f>(E12+E13+E14)*E3/10^6+E10</f>
        <v>0</v>
      </c>
      <c r="F16" s="3">
        <f>(F12+F13+F14)*F3/10^6+F10</f>
        <v>0</v>
      </c>
      <c r="G16" s="3">
        <f>(G12+G13+G14)*G3/10^6+G10</f>
        <v>0</v>
      </c>
      <c r="H16" s="3">
        <f>(H12+H13+H14)*H3/10^6+H10</f>
        <v>403.70108427468801</v>
      </c>
      <c r="I16" s="3">
        <f>(I12+I13+I14)*I3/10^6+I10</f>
        <v>446.78966816384002</v>
      </c>
      <c r="J16" s="3">
        <f>(J12+J13+J14)*J3/10^6+J10</f>
        <v>489.94250726352897</v>
      </c>
      <c r="K16" s="3">
        <f>(K12+K13+K14)*K3/10^6+K10</f>
        <v>533.16088667796566</v>
      </c>
      <c r="L16" s="3">
        <f>(L12+L13+L14)*L3/10^6+L10</f>
        <v>576.44611721344495</v>
      </c>
      <c r="M16" s="3">
        <f>(M12+M13+M14)*M3/10^6+M10</f>
        <v>619.79953589238778</v>
      </c>
      <c r="N16" s="3">
        <f>(N12+N13+N14)*N3/10^6+N10</f>
        <v>663.22250647766339</v>
      </c>
      <c r="O16" s="3">
        <f>(O12+O13+O14)*O3/10^6+O10</f>
        <v>675.87911660721659</v>
      </c>
      <c r="P16" s="3">
        <f>(P12+P13+P14)*P3/10^6+P10</f>
        <v>688.78885893936103</v>
      </c>
      <c r="Q16" s="3">
        <f>(Q12+Q13+Q14)*Q3/10^6+Q10</f>
        <v>701.95679611814808</v>
      </c>
      <c r="R16" s="3">
        <f>(R12+R13+R14)*R3/10^6+R10</f>
        <v>715.3880920405112</v>
      </c>
      <c r="S16" s="3">
        <f>(S12+S13+S14)*S3/10^6+S10</f>
        <v>729.08801388132144</v>
      </c>
      <c r="T16" s="3">
        <f>(T12+T13+T14)*T3/10^6+T10</f>
        <v>743.06193415894779</v>
      </c>
      <c r="U16" s="3">
        <f>(U12+U13+U14)*U3/10^6+U10</f>
        <v>757.31533284212674</v>
      </c>
      <c r="V16" s="3">
        <f>(V12+V13+V14)*V3/10^6+V10</f>
        <v>771.85379949896924</v>
      </c>
      <c r="W16" s="3">
        <f>(W12+W13+W14)*W3/10^6+W10</f>
        <v>786.68303548894858</v>
      </c>
      <c r="X16" s="3">
        <f>(X12+X13+X14)*X3/10^6+X10</f>
        <v>801.80885619872765</v>
      </c>
      <c r="Y16" s="3">
        <f>(Y12+Y13+Y14)*Y3/10^6+Y10</f>
        <v>817.2371933227023</v>
      </c>
      <c r="Z16" s="3">
        <f>(Z12+Z13+Z14)*Z3/10^6+Z10</f>
        <v>832.97409718915617</v>
      </c>
      <c r="AA16" s="3">
        <f>(AA12+AA13+AA14)*AA3/10^6+AA10</f>
        <v>849.02573913293952</v>
      </c>
    </row>
    <row r="17" spans="1:27" x14ac:dyDescent="0.35">
      <c r="D17" t="s">
        <v>7</v>
      </c>
      <c r="E17">
        <f>$B$7/3</f>
        <v>497.86666666666662</v>
      </c>
      <c r="F17">
        <f>$B$7/3</f>
        <v>497.86666666666662</v>
      </c>
      <c r="G17">
        <f>$B$7/3</f>
        <v>497.86666666666662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</row>
    <row r="18" spans="1:27" x14ac:dyDescent="0.35">
      <c r="D18" s="6" t="s">
        <v>6</v>
      </c>
      <c r="E18" s="7">
        <f>E9-E16</f>
        <v>0</v>
      </c>
      <c r="F18" s="7">
        <f>F9-F16</f>
        <v>0</v>
      </c>
      <c r="G18" s="7">
        <f>G9-G16</f>
        <v>0</v>
      </c>
      <c r="H18" s="7">
        <f>H9-H16</f>
        <v>272.89186239598791</v>
      </c>
      <c r="I18" s="7">
        <f>I9-I16</f>
        <v>270.83927049801582</v>
      </c>
      <c r="J18" s="7">
        <f>J9-J16</f>
        <v>267.58676228661278</v>
      </c>
      <c r="K18" s="7">
        <f>K9-K16</f>
        <v>263.1775930199957</v>
      </c>
      <c r="L18" s="7">
        <f>L9-L16</f>
        <v>257.6539754705434</v>
      </c>
      <c r="M18" s="7">
        <f>M9-M16</f>
        <v>251.05710847728653</v>
      </c>
      <c r="N18" s="7">
        <f>N9-N16</f>
        <v>243.42720485639495</v>
      </c>
      <c r="O18" s="7">
        <f>O9-O16</f>
        <v>241.55615547217906</v>
      </c>
      <c r="P18" s="7">
        <f>P9-P16</f>
        <v>239.65062407367122</v>
      </c>
      <c r="Q18" s="7">
        <f>Q9-Q16</f>
        <v>237.70991984499665</v>
      </c>
      <c r="R18" s="7">
        <f>R9-R16</f>
        <v>235.73333815443232</v>
      </c>
      <c r="S18" s="7">
        <f>S9-S16</f>
        <v>233.72016027809207</v>
      </c>
      <c r="T18" s="7">
        <f>T9-T16</f>
        <v>231.66965311808042</v>
      </c>
      <c r="U18" s="7">
        <f>U9-U16</f>
        <v>229.58106891501507</v>
      </c>
      <c r="V18" s="7">
        <f>V9-V16</f>
        <v>227.45364495479453</v>
      </c>
      <c r="W18" s="7">
        <f>W9-W16</f>
        <v>225.28660326950478</v>
      </c>
      <c r="X18" s="7">
        <f>X9-X16</f>
        <v>223.07915033234303</v>
      </c>
      <c r="Y18" s="7">
        <f>Y9-Y16</f>
        <v>220.83047674643899</v>
      </c>
      <c r="Z18" s="7">
        <f>Z9-Z16</f>
        <v>218.5397569274545</v>
      </c>
      <c r="AA18" s="7">
        <f>AA9-AA16</f>
        <v>216.2061487798311</v>
      </c>
    </row>
    <row r="19" spans="1:27" x14ac:dyDescent="0.35">
      <c r="D19" t="s">
        <v>8</v>
      </c>
      <c r="E19" s="3">
        <f>B27</f>
        <v>298.71999999999997</v>
      </c>
      <c r="F19" s="3">
        <f>E22</f>
        <v>292.19230818034845</v>
      </c>
      <c r="G19" s="3">
        <f t="shared" ref="G19:AA19" si="11">F22</f>
        <v>285.14240101512479</v>
      </c>
      <c r="H19" s="3">
        <f>E28</f>
        <v>0</v>
      </c>
      <c r="I19" s="3">
        <f>H22</f>
        <v>-30.425291819651552</v>
      </c>
      <c r="J19" s="3">
        <f t="shared" ref="J19" si="12">I22</f>
        <v>-63.284606984875225</v>
      </c>
      <c r="K19" s="3">
        <f>G22</f>
        <v>277.52850127668324</v>
      </c>
      <c r="L19" s="3">
        <f t="shared" si="11"/>
        <v>269.30548955916635</v>
      </c>
      <c r="M19" s="3">
        <f t="shared" si="11"/>
        <v>260.42463690424813</v>
      </c>
      <c r="N19" s="3">
        <f t="shared" si="11"/>
        <v>250.8333160369364</v>
      </c>
      <c r="O19" s="3">
        <f t="shared" si="11"/>
        <v>240.47468950023975</v>
      </c>
      <c r="P19" s="3">
        <f t="shared" si="11"/>
        <v>229.28737284060739</v>
      </c>
      <c r="Q19" s="3">
        <f t="shared" si="11"/>
        <v>217.20507084820443</v>
      </c>
      <c r="R19" s="3">
        <f t="shared" si="11"/>
        <v>204.15618469640921</v>
      </c>
      <c r="S19" s="3">
        <f t="shared" si="11"/>
        <v>190.0633876524704</v>
      </c>
      <c r="T19" s="3">
        <f t="shared" si="11"/>
        <v>174.84316684501647</v>
      </c>
      <c r="U19" s="3">
        <f t="shared" si="11"/>
        <v>158.40532837296624</v>
      </c>
      <c r="V19" s="3">
        <f t="shared" si="11"/>
        <v>140.65246282315198</v>
      </c>
      <c r="W19" s="3">
        <f t="shared" si="11"/>
        <v>121.47936802935259</v>
      </c>
      <c r="X19" s="3">
        <f t="shared" si="11"/>
        <v>100.77242565204925</v>
      </c>
      <c r="Y19" s="3">
        <f t="shared" si="11"/>
        <v>78.408927884561635</v>
      </c>
      <c r="Z19" s="3">
        <f t="shared" si="11"/>
        <v>54.25635029567502</v>
      </c>
      <c r="AA19" s="3">
        <f t="shared" si="11"/>
        <v>28.171566499677471</v>
      </c>
    </row>
    <row r="20" spans="1:27" x14ac:dyDescent="0.35">
      <c r="A20" t="s">
        <v>52</v>
      </c>
      <c r="B20">
        <v>1</v>
      </c>
      <c r="D20" t="s">
        <v>9</v>
      </c>
      <c r="E20" s="3">
        <f>B27*$B$9</f>
        <v>23.897599999999997</v>
      </c>
      <c r="F20" s="3">
        <f>F19*$B$9</f>
        <v>23.375384654427876</v>
      </c>
      <c r="G20" s="3">
        <f>G19*$B$9</f>
        <v>22.811392081209984</v>
      </c>
      <c r="H20" s="3">
        <f>E28*$B$9</f>
        <v>0</v>
      </c>
      <c r="I20" s="3">
        <f>I19*$B$9</f>
        <v>-2.4340233455721241</v>
      </c>
      <c r="J20" s="3">
        <f>J19*$B$9</f>
        <v>-5.062768558790018</v>
      </c>
      <c r="K20" s="3">
        <f>K19*$B$9</f>
        <v>22.202280102134662</v>
      </c>
      <c r="L20" s="3">
        <f>L19*$B$9</f>
        <v>21.544439164733308</v>
      </c>
      <c r="M20" s="3">
        <f>M19*$B$9</f>
        <v>20.83397095233985</v>
      </c>
      <c r="N20" s="3">
        <f>N19*$B$9</f>
        <v>20.066665282954911</v>
      </c>
      <c r="O20" s="3">
        <f>O19*$B$9</f>
        <v>19.237975160019179</v>
      </c>
      <c r="P20" s="3">
        <f>P19*$B$9</f>
        <v>18.342989827248591</v>
      </c>
      <c r="Q20" s="3">
        <f>Q19*$B$9</f>
        <v>17.376405667856353</v>
      </c>
      <c r="R20" s="3">
        <f>R19*$B$9</f>
        <v>16.332494775712739</v>
      </c>
      <c r="S20" s="3">
        <f>S19*$B$9</f>
        <v>15.205071012197632</v>
      </c>
      <c r="T20" s="3">
        <f>T19*$B$9</f>
        <v>13.987453347601317</v>
      </c>
      <c r="U20" s="3">
        <f>U19*$B$9</f>
        <v>12.672426269837299</v>
      </c>
      <c r="V20" s="3">
        <f>V19*$B$9</f>
        <v>11.252197025852158</v>
      </c>
      <c r="W20" s="3">
        <f>W19*$B$9</f>
        <v>9.7183494423482077</v>
      </c>
      <c r="X20" s="3">
        <f>X19*$B$9</f>
        <v>8.0617940521639397</v>
      </c>
      <c r="Y20" s="3">
        <f>Y19*$B$9</f>
        <v>6.2727142307649313</v>
      </c>
      <c r="Z20" s="3">
        <f>Z19*$B$9</f>
        <v>4.3405080236540021</v>
      </c>
      <c r="AA20" s="3">
        <f>AA19*$B$9</f>
        <v>2.2537253199741976</v>
      </c>
    </row>
    <row r="21" spans="1:27" x14ac:dyDescent="0.35">
      <c r="A21" t="s">
        <v>16</v>
      </c>
      <c r="B21">
        <v>0.37</v>
      </c>
      <c r="D21" t="s">
        <v>10</v>
      </c>
      <c r="E21" s="5">
        <f>PMT($B$9,20,-$B$27)</f>
        <v>30.425291819651552</v>
      </c>
      <c r="F21" s="5">
        <f>PMT($B$9,20,-$B$27)</f>
        <v>30.425291819651552</v>
      </c>
      <c r="G21" s="5">
        <f>PMT($B$9,20,-$B$27)</f>
        <v>30.425291819651552</v>
      </c>
      <c r="H21" s="5">
        <f>PMT($B$9,20,-$B$27)</f>
        <v>30.425291819651552</v>
      </c>
      <c r="I21" s="5">
        <f>PMT($B$9,20,-$B$27)</f>
        <v>30.425291819651552</v>
      </c>
      <c r="J21" s="5">
        <f>PMT($B$9,20,-$B$27)</f>
        <v>30.425291819651552</v>
      </c>
      <c r="K21" s="5">
        <f>PMT($B$9,20,-$B$27)</f>
        <v>30.425291819651552</v>
      </c>
      <c r="L21" s="5">
        <f>PMT($B$9,20,-$B$27)</f>
        <v>30.425291819651552</v>
      </c>
      <c r="M21" s="5">
        <f>PMT($B$9,20,-$B$27)</f>
        <v>30.425291819651552</v>
      </c>
      <c r="N21" s="5">
        <f>PMT($B$9,20,-$B$27)</f>
        <v>30.425291819651552</v>
      </c>
      <c r="O21" s="5">
        <f>PMT($B$9,20,-$B$27)</f>
        <v>30.425291819651552</v>
      </c>
      <c r="P21" s="5">
        <f>PMT($B$9,20,-$B$27)</f>
        <v>30.425291819651552</v>
      </c>
      <c r="Q21" s="5">
        <f>PMT($B$9,20,-$B$27)</f>
        <v>30.425291819651552</v>
      </c>
      <c r="R21" s="5">
        <f>PMT($B$9,20,-$B$27)</f>
        <v>30.425291819651552</v>
      </c>
      <c r="S21" s="5">
        <f>PMT($B$9,20,-$B$27)</f>
        <v>30.425291819651552</v>
      </c>
      <c r="T21" s="5">
        <f>PMT($B$9,20,-$B$27)</f>
        <v>30.425291819651552</v>
      </c>
      <c r="U21" s="5">
        <f>PMT($B$9,20,-$B$27)</f>
        <v>30.425291819651552</v>
      </c>
      <c r="V21" s="5">
        <f>PMT($B$9,20,-$B$27)</f>
        <v>30.425291819651552</v>
      </c>
      <c r="W21" s="5">
        <f>PMT($B$9,20,-$B$27)</f>
        <v>30.425291819651552</v>
      </c>
      <c r="X21" s="5">
        <f>PMT($B$9,20,-$B$27)</f>
        <v>30.425291819651552</v>
      </c>
      <c r="Y21" s="5">
        <f>PMT($B$9,20,-$B$27)</f>
        <v>30.425291819651552</v>
      </c>
      <c r="Z21" s="5">
        <f>PMT($B$9,20,-$B$27)</f>
        <v>30.425291819651552</v>
      </c>
      <c r="AA21" s="5">
        <f>PMT($B$9,20,-$B$27)</f>
        <v>30.425291819651552</v>
      </c>
    </row>
    <row r="22" spans="1:27" x14ac:dyDescent="0.35">
      <c r="A22" t="s">
        <v>17</v>
      </c>
      <c r="B22">
        <v>50</v>
      </c>
      <c r="D22" t="s">
        <v>11</v>
      </c>
      <c r="E22" s="3">
        <f>E19+E20-E21</f>
        <v>292.19230818034845</v>
      </c>
      <c r="F22" s="3">
        <f>F19+F20-F21</f>
        <v>285.14240101512479</v>
      </c>
      <c r="G22" s="3">
        <f t="shared" ref="G22:AA22" si="13">G19+G20-G21</f>
        <v>277.52850127668324</v>
      </c>
      <c r="H22" s="3">
        <f>H19+H20-H21</f>
        <v>-30.425291819651552</v>
      </c>
      <c r="I22" s="3">
        <f>I19+I20-I21</f>
        <v>-63.284606984875225</v>
      </c>
      <c r="J22" s="3">
        <f t="shared" ref="J22" si="14">J19+J20-J21</f>
        <v>-98.772667363316785</v>
      </c>
      <c r="K22" s="3">
        <f t="shared" si="13"/>
        <v>269.30548955916635</v>
      </c>
      <c r="L22" s="3">
        <f t="shared" si="13"/>
        <v>260.42463690424813</v>
      </c>
      <c r="M22" s="3">
        <f t="shared" si="13"/>
        <v>250.8333160369364</v>
      </c>
      <c r="N22" s="3">
        <f t="shared" si="13"/>
        <v>240.47468950023975</v>
      </c>
      <c r="O22" s="3">
        <f t="shared" si="13"/>
        <v>229.28737284060739</v>
      </c>
      <c r="P22" s="3">
        <f t="shared" si="13"/>
        <v>217.20507084820443</v>
      </c>
      <c r="Q22" s="3">
        <f t="shared" si="13"/>
        <v>204.15618469640921</v>
      </c>
      <c r="R22" s="3">
        <f t="shared" si="13"/>
        <v>190.0633876524704</v>
      </c>
      <c r="S22" s="3">
        <f t="shared" si="13"/>
        <v>174.84316684501647</v>
      </c>
      <c r="T22" s="3">
        <f t="shared" si="13"/>
        <v>158.40532837296624</v>
      </c>
      <c r="U22" s="3">
        <f t="shared" si="13"/>
        <v>140.65246282315198</v>
      </c>
      <c r="V22" s="3">
        <f t="shared" si="13"/>
        <v>121.47936802935259</v>
      </c>
      <c r="W22" s="3">
        <f t="shared" si="13"/>
        <v>100.77242565204925</v>
      </c>
      <c r="X22" s="3">
        <f t="shared" si="13"/>
        <v>78.408927884561635</v>
      </c>
      <c r="Y22" s="3">
        <f t="shared" si="13"/>
        <v>54.25635029567502</v>
      </c>
      <c r="Z22" s="3">
        <f t="shared" si="13"/>
        <v>28.171566499677471</v>
      </c>
      <c r="AA22" s="3">
        <f t="shared" si="13"/>
        <v>1.1723955140041653E-13</v>
      </c>
    </row>
    <row r="23" spans="1:27" x14ac:dyDescent="0.35">
      <c r="A23" t="s">
        <v>22</v>
      </c>
      <c r="B23">
        <v>0.02</v>
      </c>
      <c r="D23" t="s">
        <v>12</v>
      </c>
      <c r="E23" s="3">
        <f>E21-E20</f>
        <v>6.5276918196515545</v>
      </c>
      <c r="F23" s="3">
        <f t="shared" ref="F23:AA23" si="15">F21-F20</f>
        <v>7.0499071652236758</v>
      </c>
      <c r="G23" s="3">
        <f t="shared" si="15"/>
        <v>7.6138997384415674</v>
      </c>
      <c r="H23" s="3">
        <f>H21-H20</f>
        <v>30.425291819651552</v>
      </c>
      <c r="I23" s="3">
        <f t="shared" ref="I23:J23" si="16">I21-I20</f>
        <v>32.859315165223677</v>
      </c>
      <c r="J23" s="3">
        <f t="shared" si="16"/>
        <v>35.488060378441567</v>
      </c>
      <c r="K23" s="3">
        <f t="shared" si="15"/>
        <v>8.22301171751689</v>
      </c>
      <c r="L23" s="3">
        <f t="shared" si="15"/>
        <v>8.8808526549182432</v>
      </c>
      <c r="M23" s="3">
        <f t="shared" si="15"/>
        <v>9.5913208673117012</v>
      </c>
      <c r="N23" s="3">
        <f t="shared" si="15"/>
        <v>10.35862653669664</v>
      </c>
      <c r="O23" s="3">
        <f t="shared" si="15"/>
        <v>11.187316659632373</v>
      </c>
      <c r="P23" s="3">
        <f t="shared" si="15"/>
        <v>12.082301992402961</v>
      </c>
      <c r="Q23" s="3">
        <f t="shared" si="15"/>
        <v>13.048886151795198</v>
      </c>
      <c r="R23" s="3">
        <f t="shared" si="15"/>
        <v>14.092797043938813</v>
      </c>
      <c r="S23" s="3">
        <f t="shared" si="15"/>
        <v>15.22022080745392</v>
      </c>
      <c r="T23" s="3">
        <f t="shared" si="15"/>
        <v>16.437838472050235</v>
      </c>
      <c r="U23" s="3">
        <f t="shared" si="15"/>
        <v>17.752865549814253</v>
      </c>
      <c r="V23" s="3">
        <f t="shared" si="15"/>
        <v>19.173094793799393</v>
      </c>
      <c r="W23" s="3">
        <f t="shared" si="15"/>
        <v>20.706942377303342</v>
      </c>
      <c r="X23" s="3">
        <f t="shared" si="15"/>
        <v>22.363497767487612</v>
      </c>
      <c r="Y23" s="3">
        <f t="shared" si="15"/>
        <v>24.152577588886622</v>
      </c>
      <c r="Z23" s="3">
        <f t="shared" si="15"/>
        <v>26.084783795997549</v>
      </c>
      <c r="AA23" s="3">
        <f t="shared" si="15"/>
        <v>28.171566499677354</v>
      </c>
    </row>
    <row r="24" spans="1:27" x14ac:dyDescent="0.35">
      <c r="A24" t="s">
        <v>23</v>
      </c>
      <c r="B24">
        <v>0.02</v>
      </c>
    </row>
    <row r="25" spans="1:27" x14ac:dyDescent="0.35">
      <c r="D25" t="s">
        <v>13</v>
      </c>
      <c r="E25" s="3">
        <f>E17/5*0.5</f>
        <v>49.786666666666662</v>
      </c>
      <c r="F25" s="3">
        <f>$E$17/5</f>
        <v>99.573333333333323</v>
      </c>
      <c r="G25" s="3">
        <f>$E$17/5</f>
        <v>99.573333333333323</v>
      </c>
      <c r="H25" s="3">
        <f>$E$17/5</f>
        <v>99.573333333333323</v>
      </c>
      <c r="I25" s="3">
        <f>$E$17/5</f>
        <v>99.573333333333323</v>
      </c>
      <c r="J25" s="3">
        <f>$E$17/5</f>
        <v>99.573333333333323</v>
      </c>
      <c r="K25" s="3">
        <f>$E$17/5</f>
        <v>99.573333333333323</v>
      </c>
      <c r="L25" s="3">
        <f>$E$17/5</f>
        <v>99.573333333333323</v>
      </c>
      <c r="M25" s="3">
        <f>$E$17/5/2</f>
        <v>49.786666666666662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</row>
    <row r="26" spans="1:27" x14ac:dyDescent="0.35">
      <c r="A26" t="s">
        <v>33</v>
      </c>
      <c r="B26">
        <f>(1-B8)*B7</f>
        <v>597.43999999999994</v>
      </c>
      <c r="D26" t="s">
        <v>14</v>
      </c>
      <c r="E26" s="3">
        <f>E18-E20-E25</f>
        <v>-73.684266666666659</v>
      </c>
      <c r="F26" s="3">
        <f>F18-F20-F25</f>
        <v>-122.9487179877612</v>
      </c>
      <c r="G26" s="3">
        <f>G18-G20-G25</f>
        <v>-122.38472541454331</v>
      </c>
      <c r="H26" s="3">
        <f>H18-H20-H25</f>
        <v>173.31852906265459</v>
      </c>
      <c r="I26" s="3">
        <f>I18-I20-I25</f>
        <v>173.69996051025464</v>
      </c>
      <c r="J26" s="3">
        <f>J18-J20-J25</f>
        <v>173.07619751206948</v>
      </c>
      <c r="K26" s="3">
        <f>K18-K20-K25</f>
        <v>141.40197958452771</v>
      </c>
      <c r="L26" s="3">
        <f>L18-L20-L25</f>
        <v>136.53620297247676</v>
      </c>
      <c r="M26" s="3">
        <f>M18-M20-M25</f>
        <v>180.43647085828002</v>
      </c>
      <c r="N26" s="3">
        <f>N18-N20-N25</f>
        <v>223.36053957344004</v>
      </c>
      <c r="O26" s="3">
        <f>O18-O20-O25</f>
        <v>222.31818031215988</v>
      </c>
      <c r="P26" s="3">
        <f>P18-P20-P25</f>
        <v>221.30763424642262</v>
      </c>
      <c r="Q26" s="3">
        <f>Q18-Q20-Q25</f>
        <v>220.3335141771403</v>
      </c>
      <c r="R26" s="3">
        <f>R18-R20-R25</f>
        <v>219.40084337871957</v>
      </c>
      <c r="S26" s="3">
        <f>S18-S20-S25</f>
        <v>218.51508926589443</v>
      </c>
      <c r="T26" s="3">
        <f>T18-T20-T25</f>
        <v>217.68219977047909</v>
      </c>
      <c r="U26" s="3">
        <f>U18-U20-U25</f>
        <v>216.90864264517776</v>
      </c>
      <c r="V26" s="3">
        <f>V18-V20-V25</f>
        <v>216.20144792894237</v>
      </c>
      <c r="W26" s="3">
        <f>W18-W20-W25</f>
        <v>215.56825382715658</v>
      </c>
      <c r="X26" s="3">
        <f>X18-X20-X25</f>
        <v>215.01735628017909</v>
      </c>
      <c r="Y26" s="3">
        <f>Y18-Y20-Y25</f>
        <v>214.55776251567406</v>
      </c>
      <c r="Z26" s="3">
        <f>Z18-Z20-Z25</f>
        <v>214.19924890380051</v>
      </c>
      <c r="AA26" s="3">
        <f>AA18-AA20-AA25</f>
        <v>213.9524234598569</v>
      </c>
    </row>
    <row r="27" spans="1:27" x14ac:dyDescent="0.35">
      <c r="A27" t="s">
        <v>32</v>
      </c>
      <c r="B27">
        <f>E17*B8</f>
        <v>298.71999999999997</v>
      </c>
      <c r="D27" t="s">
        <v>35</v>
      </c>
      <c r="E27" s="3">
        <f>E26*$B$29</f>
        <v>-16.947381333333329</v>
      </c>
      <c r="F27" s="3">
        <f>F26*$B$29</f>
        <v>-28.278205137185072</v>
      </c>
      <c r="G27" s="3">
        <f>G26*$B$29</f>
        <v>-28.148486845344959</v>
      </c>
      <c r="H27" s="3">
        <f>H26*$B$29</f>
        <v>39.863261684410553</v>
      </c>
      <c r="I27" s="3">
        <f>I26*$B$29</f>
        <v>39.950990917358567</v>
      </c>
      <c r="J27" s="3">
        <f>J26*$B$29</f>
        <v>39.807525427775978</v>
      </c>
      <c r="K27" s="3">
        <f>K26*$B$29</f>
        <v>32.522455304441372</v>
      </c>
      <c r="L27" s="3">
        <f>L26*$B$29</f>
        <v>31.403326683669651</v>
      </c>
      <c r="M27" s="3">
        <f>M26*$B$29</f>
        <v>41.500388297404399</v>
      </c>
      <c r="N27" s="3">
        <f>N26*$B$29</f>
        <v>51.372924101891208</v>
      </c>
      <c r="O27" s="3">
        <f>O26*$B$29</f>
        <v>51.133181471796767</v>
      </c>
      <c r="P27" s="3">
        <f>P26*$B$29</f>
        <v>50.900755876677202</v>
      </c>
      <c r="Q27" s="3">
        <f>Q26*$B$29</f>
        <v>50.676708260742267</v>
      </c>
      <c r="R27" s="3">
        <f>R26*$B$29</f>
        <v>50.4621939771055</v>
      </c>
      <c r="S27" s="3">
        <f>S26*$B$29</f>
        <v>50.258470531155716</v>
      </c>
      <c r="T27" s="3">
        <f>T26*$B$29</f>
        <v>50.066905947210188</v>
      </c>
      <c r="U27" s="3">
        <f>U26*$B$29</f>
        <v>49.88898780839088</v>
      </c>
      <c r="V27" s="3">
        <f>V26*$B$29</f>
        <v>49.726333023656743</v>
      </c>
      <c r="W27" s="3">
        <f>W26*$B$29</f>
        <v>49.580698380246012</v>
      </c>
      <c r="X27" s="3">
        <f>X26*$B$29</f>
        <v>49.453991944441185</v>
      </c>
      <c r="Y27" s="3">
        <f>Y26*$B$29</f>
        <v>49.348285378605027</v>
      </c>
      <c r="Z27" s="3">
        <f>Z26*$B$29</f>
        <v>49.265827247874114</v>
      </c>
      <c r="AA27" s="3">
        <f>AA26*$B$29</f>
        <v>49.209057395767083</v>
      </c>
    </row>
    <row r="28" spans="1:27" x14ac:dyDescent="0.35"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x14ac:dyDescent="0.35">
      <c r="A29" t="s">
        <v>15</v>
      </c>
      <c r="B29">
        <f>0.08+0.15</f>
        <v>0.22999999999999998</v>
      </c>
      <c r="D29" t="s">
        <v>34</v>
      </c>
      <c r="E29" s="3">
        <f>E18-E17+B27-E21-E27</f>
        <v>-212.62457715298487</v>
      </c>
      <c r="F29" s="3">
        <f>F18-F17-F21-F27</f>
        <v>-500.01375334913314</v>
      </c>
      <c r="G29" s="3">
        <f>G18-G17-G21-G27</f>
        <v>-500.14347164097325</v>
      </c>
      <c r="H29" s="3">
        <f>H18-H17-H21-H27</f>
        <v>202.60330889192579</v>
      </c>
      <c r="I29" s="3">
        <f>I18-I17-I21-I27</f>
        <v>200.46298776100571</v>
      </c>
      <c r="J29" s="3">
        <f>J18-J17-J21-J27</f>
        <v>197.35394503918525</v>
      </c>
      <c r="K29" s="3">
        <f>K18-K17-K21-K27</f>
        <v>200.22984589590277</v>
      </c>
      <c r="L29" s="3">
        <f>L18-L17-L21-L27</f>
        <v>195.82535696722218</v>
      </c>
      <c r="M29" s="3">
        <f>M18-M17-M21-M27</f>
        <v>179.13142836023059</v>
      </c>
      <c r="N29" s="3">
        <f>N18-N17-N21-N27</f>
        <v>161.62898893485217</v>
      </c>
      <c r="O29" s="3">
        <f>O18-O17-O21-O27</f>
        <v>159.99768218073072</v>
      </c>
      <c r="P29" s="3">
        <f>P18-P17-P21-P27</f>
        <v>158.32457637734245</v>
      </c>
      <c r="Q29" s="3">
        <f>Q18-Q17-Q21-Q27</f>
        <v>156.60791976460283</v>
      </c>
      <c r="R29" s="3">
        <f>R18-R17-R21-R27</f>
        <v>154.84585235767526</v>
      </c>
      <c r="S29" s="3">
        <f>S18-S17-S21-S27</f>
        <v>153.03639792728478</v>
      </c>
      <c r="T29" s="3">
        <f>T18-T17-T21-T27</f>
        <v>151.17745535121867</v>
      </c>
      <c r="U29" s="3">
        <f>U18-U17-U21-U27</f>
        <v>149.26678928697262</v>
      </c>
      <c r="V29" s="3">
        <f>V18-V17-V21-V27</f>
        <v>147.30202011148623</v>
      </c>
      <c r="W29" s="3">
        <f>W18-W17-W21-W27</f>
        <v>145.2806130696072</v>
      </c>
      <c r="X29" s="3">
        <f>X18-X17-X21-X27</f>
        <v>143.19986656825029</v>
      </c>
      <c r="Y29" s="3">
        <f>Y18-Y17-Y21-Y27</f>
        <v>141.0568995481824</v>
      </c>
      <c r="Z29" s="3">
        <f>Z18-Z17-Z21-Z27</f>
        <v>138.84863785992883</v>
      </c>
      <c r="AA29" s="3">
        <f>AA18-AA17-AA21-AA27</f>
        <v>136.57179956441246</v>
      </c>
    </row>
    <row r="30" spans="1:27" x14ac:dyDescent="0.35">
      <c r="D30" t="s">
        <v>0</v>
      </c>
      <c r="E30" s="2">
        <f>IRR(E29:AA29)</f>
        <v>0.11973615237829205</v>
      </c>
    </row>
    <row r="32" spans="1:27" x14ac:dyDescent="0.35">
      <c r="A32" t="s">
        <v>18</v>
      </c>
      <c r="B32" s="3">
        <v>65.249884705677474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tabSelected="1" workbookViewId="0">
      <selection activeCell="E40" sqref="E40"/>
    </sheetView>
  </sheetViews>
  <sheetFormatPr defaultRowHeight="14.5" x14ac:dyDescent="0.35"/>
  <cols>
    <col min="1" max="1" width="24.36328125" customWidth="1"/>
    <col min="2" max="2" width="12" customWidth="1"/>
    <col min="3" max="3" width="6.1796875" customWidth="1"/>
    <col min="4" max="4" width="29.7265625" customWidth="1"/>
    <col min="5" max="5" width="11.81640625" bestFit="1" customWidth="1"/>
    <col min="8" max="8" width="11.453125" bestFit="1" customWidth="1"/>
    <col min="9" max="27" width="11.36328125" bestFit="1" customWidth="1"/>
  </cols>
  <sheetData>
    <row r="1" spans="1:27" x14ac:dyDescent="0.35">
      <c r="A1" t="s">
        <v>1</v>
      </c>
      <c r="B1">
        <v>800</v>
      </c>
      <c r="D1" t="s">
        <v>27</v>
      </c>
      <c r="E1">
        <v>1</v>
      </c>
      <c r="F1">
        <v>2</v>
      </c>
      <c r="G1">
        <v>3</v>
      </c>
      <c r="H1">
        <v>4</v>
      </c>
      <c r="I1">
        <v>5</v>
      </c>
      <c r="J1">
        <v>6</v>
      </c>
      <c r="K1">
        <v>7</v>
      </c>
      <c r="L1">
        <v>8</v>
      </c>
      <c r="M1">
        <v>9</v>
      </c>
      <c r="N1">
        <v>10</v>
      </c>
      <c r="O1">
        <v>11</v>
      </c>
      <c r="P1">
        <v>12</v>
      </c>
      <c r="Q1">
        <v>13</v>
      </c>
      <c r="R1">
        <v>14</v>
      </c>
      <c r="S1">
        <v>15</v>
      </c>
      <c r="T1">
        <v>16</v>
      </c>
      <c r="U1">
        <v>17</v>
      </c>
      <c r="V1">
        <v>18</v>
      </c>
      <c r="W1">
        <v>19</v>
      </c>
      <c r="X1">
        <v>20</v>
      </c>
      <c r="Y1">
        <v>21</v>
      </c>
      <c r="Z1">
        <v>22</v>
      </c>
      <c r="AA1">
        <v>23</v>
      </c>
    </row>
    <row r="2" spans="1:27" x14ac:dyDescent="0.35">
      <c r="A2" t="s">
        <v>36</v>
      </c>
      <c r="B2">
        <v>0.8</v>
      </c>
      <c r="D2" t="s">
        <v>1</v>
      </c>
      <c r="E2">
        <f>$B$1</f>
        <v>800</v>
      </c>
      <c r="F2">
        <f t="shared" ref="F2:AA2" si="0">$B$1</f>
        <v>800</v>
      </c>
      <c r="G2">
        <f t="shared" si="0"/>
        <v>800</v>
      </c>
      <c r="H2">
        <f>$B$1</f>
        <v>800</v>
      </c>
      <c r="I2">
        <f t="shared" si="0"/>
        <v>800</v>
      </c>
      <c r="J2">
        <f t="shared" si="0"/>
        <v>800</v>
      </c>
      <c r="K2">
        <f t="shared" si="0"/>
        <v>800</v>
      </c>
      <c r="L2">
        <f t="shared" si="0"/>
        <v>800</v>
      </c>
      <c r="M2">
        <f t="shared" si="0"/>
        <v>800</v>
      </c>
      <c r="N2">
        <f t="shared" si="0"/>
        <v>800</v>
      </c>
      <c r="O2">
        <f t="shared" si="0"/>
        <v>800</v>
      </c>
      <c r="P2">
        <f t="shared" si="0"/>
        <v>800</v>
      </c>
      <c r="Q2">
        <f t="shared" si="0"/>
        <v>800</v>
      </c>
      <c r="R2">
        <f t="shared" si="0"/>
        <v>800</v>
      </c>
      <c r="S2">
        <f t="shared" si="0"/>
        <v>800</v>
      </c>
      <c r="T2">
        <f t="shared" si="0"/>
        <v>800</v>
      </c>
      <c r="U2">
        <f t="shared" si="0"/>
        <v>800</v>
      </c>
      <c r="V2">
        <f t="shared" si="0"/>
        <v>800</v>
      </c>
      <c r="W2">
        <f t="shared" si="0"/>
        <v>800</v>
      </c>
      <c r="X2">
        <f t="shared" si="0"/>
        <v>800</v>
      </c>
      <c r="Y2">
        <f t="shared" si="0"/>
        <v>800</v>
      </c>
      <c r="Z2">
        <f t="shared" si="0"/>
        <v>800</v>
      </c>
      <c r="AA2">
        <f t="shared" si="0"/>
        <v>800</v>
      </c>
    </row>
    <row r="3" spans="1:27" x14ac:dyDescent="0.35">
      <c r="A3" t="s">
        <v>42</v>
      </c>
      <c r="B3">
        <v>29.23</v>
      </c>
      <c r="D3" t="s">
        <v>2</v>
      </c>
      <c r="E3">
        <v>0</v>
      </c>
      <c r="F3">
        <v>0</v>
      </c>
      <c r="G3">
        <v>0</v>
      </c>
      <c r="H3">
        <f>H2*$B$2*8760</f>
        <v>5606400</v>
      </c>
      <c r="I3">
        <f t="shared" ref="I3:J3" si="1">I2*$B$2*8760</f>
        <v>5606400</v>
      </c>
      <c r="J3">
        <f t="shared" si="1"/>
        <v>5606400</v>
      </c>
      <c r="K3">
        <f t="shared" ref="K3:AA3" si="2">K2*$B$2*8760</f>
        <v>5606400</v>
      </c>
      <c r="L3">
        <f t="shared" si="2"/>
        <v>5606400</v>
      </c>
      <c r="M3">
        <f t="shared" si="2"/>
        <v>5606400</v>
      </c>
      <c r="N3">
        <f t="shared" si="2"/>
        <v>5606400</v>
      </c>
      <c r="O3">
        <f t="shared" si="2"/>
        <v>5606400</v>
      </c>
      <c r="P3">
        <f t="shared" si="2"/>
        <v>5606400</v>
      </c>
      <c r="Q3">
        <f t="shared" si="2"/>
        <v>5606400</v>
      </c>
      <c r="R3">
        <f t="shared" si="2"/>
        <v>5606400</v>
      </c>
      <c r="S3">
        <f t="shared" si="2"/>
        <v>5606400</v>
      </c>
      <c r="T3">
        <f t="shared" si="2"/>
        <v>5606400</v>
      </c>
      <c r="U3">
        <f t="shared" si="2"/>
        <v>5606400</v>
      </c>
      <c r="V3">
        <f t="shared" si="2"/>
        <v>5606400</v>
      </c>
      <c r="W3">
        <f t="shared" si="2"/>
        <v>5606400</v>
      </c>
      <c r="X3">
        <f t="shared" si="2"/>
        <v>5606400</v>
      </c>
      <c r="Y3">
        <f t="shared" si="2"/>
        <v>5606400</v>
      </c>
      <c r="Z3">
        <f t="shared" si="2"/>
        <v>5606400</v>
      </c>
      <c r="AA3">
        <f t="shared" si="2"/>
        <v>5606400</v>
      </c>
    </row>
    <row r="4" spans="1:27" x14ac:dyDescent="0.35">
      <c r="A4" t="s">
        <v>37</v>
      </c>
      <c r="B4">
        <f>B3*B1/1000</f>
        <v>23.384</v>
      </c>
      <c r="D4" t="s">
        <v>19</v>
      </c>
      <c r="E4" s="3">
        <f>$B$31*(1+$B$12)^(E1-1)</f>
        <v>55.56</v>
      </c>
      <c r="F4" s="3">
        <f>$B$31*(1+$B$12)^(F1-1)</f>
        <v>56.671200000000006</v>
      </c>
      <c r="G4" s="3">
        <f>$B$31*(1+$B$12)^(G1-1)</f>
        <v>57.804624000000004</v>
      </c>
      <c r="H4" s="3">
        <f>$B$31*(1+$B$12)^(H1-1)</f>
        <v>58.960716479999995</v>
      </c>
      <c r="I4" s="3">
        <f>$B$31*(1+$B$12)^(I1-1)</f>
        <v>60.139930809600003</v>
      </c>
      <c r="J4" s="3">
        <f>$B$31*(1+$B$12)^(J1-1)</f>
        <v>61.342729425792001</v>
      </c>
      <c r="K4" s="3">
        <f>$B$31*(1+$B$12)^(K1-1)</f>
        <v>62.56958401430785</v>
      </c>
      <c r="L4" s="3">
        <f>$B$31*(1+$B$12)^(L1-1)</f>
        <v>63.82097569459399</v>
      </c>
      <c r="M4" s="3">
        <f>$B$31*(1+$B$12)^(M1-1)</f>
        <v>65.097395208485878</v>
      </c>
      <c r="N4" s="3">
        <f>$B$31*(1+$B$12)^(N1-1)</f>
        <v>66.399343112655586</v>
      </c>
      <c r="O4" s="3">
        <f>$B$31*(1+$B$12)^(O1-1)</f>
        <v>67.727329974908713</v>
      </c>
      <c r="P4" s="3">
        <f>$B$31*(1+$B$12)^(P1-1)</f>
        <v>69.081876574406863</v>
      </c>
      <c r="Q4" s="3">
        <f>$B$31*(1+$B$12)^(Q1-1)</f>
        <v>70.463514105895015</v>
      </c>
      <c r="R4" s="3">
        <f>$B$31*(1+$B$12)^(R1-1)</f>
        <v>71.872784388012917</v>
      </c>
      <c r="S4" s="3">
        <f>$B$31*(1+$B$12)^(S1-1)</f>
        <v>73.31024007577318</v>
      </c>
      <c r="T4" s="3">
        <f>$B$31*(1+$B$12)^(T1-1)</f>
        <v>74.776444877288625</v>
      </c>
      <c r="U4" s="3">
        <f>$B$31*(1+$B$12)^(U1-1)</f>
        <v>76.271973774834407</v>
      </c>
      <c r="V4" s="3">
        <f>$B$31*(1+$B$12)^(V1-1)</f>
        <v>77.797413250331104</v>
      </c>
      <c r="W4" s="3">
        <f>$B$31*(1+$B$12)^(W1-1)</f>
        <v>79.35336151533771</v>
      </c>
      <c r="X4" s="3">
        <f>$B$31*(1+$B$12)^(X1-1)</f>
        <v>80.940428745644468</v>
      </c>
      <c r="Y4" s="3">
        <f>$B$31*(1+$B$12)^(Y1-1)</f>
        <v>82.559237320557358</v>
      </c>
      <c r="Z4" s="3">
        <f>$B$31*(1+$B$12)^(Z1-1)</f>
        <v>84.210422066968505</v>
      </c>
      <c r="AA4" s="3">
        <f>$B$31*(1+$B$12)^(AA1-1)</f>
        <v>85.894630508307884</v>
      </c>
    </row>
    <row r="5" spans="1:27" x14ac:dyDescent="0.35">
      <c r="D5" t="s">
        <v>25</v>
      </c>
      <c r="E5" s="3">
        <f t="shared" ref="E5:AA5" si="3">E3*E4/10^6</f>
        <v>0</v>
      </c>
      <c r="F5" s="3">
        <f t="shared" si="3"/>
        <v>0</v>
      </c>
      <c r="G5" s="3">
        <f t="shared" si="3"/>
        <v>0</v>
      </c>
      <c r="H5" s="3">
        <f t="shared" ref="H5" si="4">H3*H4/10^6</f>
        <v>330.55736087347196</v>
      </c>
      <c r="I5" s="3">
        <f t="shared" ref="I5" si="5">I3*I4/10^6</f>
        <v>337.16850809094143</v>
      </c>
      <c r="J5" s="3">
        <f t="shared" ref="J5" si="6">J3*J4/10^6</f>
        <v>343.91187825276029</v>
      </c>
      <c r="K5" s="3">
        <f t="shared" si="3"/>
        <v>350.79011581781555</v>
      </c>
      <c r="L5" s="3">
        <f t="shared" si="3"/>
        <v>357.80591813417175</v>
      </c>
      <c r="M5" s="3">
        <f t="shared" si="3"/>
        <v>364.96203649685521</v>
      </c>
      <c r="N5" s="3">
        <f t="shared" si="3"/>
        <v>372.26127722679229</v>
      </c>
      <c r="O5" s="3">
        <f t="shared" si="3"/>
        <v>379.70650277132819</v>
      </c>
      <c r="P5" s="3">
        <f t="shared" si="3"/>
        <v>387.30063282675462</v>
      </c>
      <c r="Q5" s="3">
        <f t="shared" si="3"/>
        <v>395.04664548328986</v>
      </c>
      <c r="R5" s="3">
        <f t="shared" si="3"/>
        <v>402.94757839295562</v>
      </c>
      <c r="S5" s="3">
        <f t="shared" si="3"/>
        <v>411.00652996081476</v>
      </c>
      <c r="T5" s="3">
        <f t="shared" si="3"/>
        <v>419.22666056003095</v>
      </c>
      <c r="U5" s="3">
        <f t="shared" si="3"/>
        <v>427.61119377123157</v>
      </c>
      <c r="V5" s="3">
        <f t="shared" si="3"/>
        <v>436.16341764665628</v>
      </c>
      <c r="W5" s="3">
        <f t="shared" si="3"/>
        <v>444.8866859995893</v>
      </c>
      <c r="X5" s="3">
        <f t="shared" si="3"/>
        <v>453.78441971958114</v>
      </c>
      <c r="Y5" s="3">
        <f t="shared" si="3"/>
        <v>462.86010811397279</v>
      </c>
      <c r="Z5" s="3">
        <f t="shared" si="3"/>
        <v>472.11731027625223</v>
      </c>
      <c r="AA5" s="3">
        <f t="shared" si="3"/>
        <v>481.55965648177732</v>
      </c>
    </row>
    <row r="6" spans="1:27" x14ac:dyDescent="0.35">
      <c r="A6" t="s">
        <v>28</v>
      </c>
      <c r="B6">
        <v>1867</v>
      </c>
      <c r="C6" s="1"/>
      <c r="D6" t="s">
        <v>55</v>
      </c>
      <c r="E6" s="3">
        <f>$B$20*(1-$B$23)^E1</f>
        <v>0.36259999999999998</v>
      </c>
      <c r="F6" s="3">
        <f>$B$20*(1-$B$23)^F1</f>
        <v>0.35534799999999994</v>
      </c>
      <c r="G6" s="3">
        <f>$B$20*(1-$B$23)^G1</f>
        <v>0.34824103999999995</v>
      </c>
      <c r="H6" s="3">
        <f>$B$20*(1-$B$23)^H1</f>
        <v>0.34127621919999995</v>
      </c>
      <c r="I6" s="3">
        <f>$B$20*(1-$B$23)^I1</f>
        <v>0.33445069481599993</v>
      </c>
      <c r="J6" s="3">
        <f>$B$20*(1-$B$23)^J1</f>
        <v>0.32776168091967994</v>
      </c>
      <c r="K6" s="3">
        <f>$B$20*(1-$B$23)^K1</f>
        <v>0.32120644730128634</v>
      </c>
      <c r="L6" s="3">
        <f>$B$20*(1-$B$23)^L1</f>
        <v>0.3147823183552606</v>
      </c>
      <c r="M6" s="3">
        <f>$B$20*(1-$B$23)^M1</f>
        <v>0.30848667198815538</v>
      </c>
      <c r="N6" s="3">
        <f>$B$20*(1-$B$23)^N1</f>
        <v>0.30231693854839226</v>
      </c>
      <c r="O6" s="3">
        <f>$B$20*(1-$B$23)^O1</f>
        <v>0.29627059977742437</v>
      </c>
      <c r="P6" s="3">
        <f>$B$20*(1-$B$23)^P1</f>
        <v>0.2903451877818759</v>
      </c>
      <c r="Q6" s="3">
        <f>$B$20*(1-$B$23)^Q1</f>
        <v>0.28453828402623838</v>
      </c>
      <c r="R6" s="3">
        <f>$B$20*(1-$B$23)^R1</f>
        <v>0.27884751834571359</v>
      </c>
      <c r="S6" s="3">
        <f>$B$20*(1-$B$23)^S1</f>
        <v>0.27327056797879928</v>
      </c>
      <c r="T6" s="3">
        <f>$B$20*(1-$B$23)^T1</f>
        <v>0.26780515661922333</v>
      </c>
      <c r="U6" s="3">
        <f>$B$20*(1-$B$23)^U1</f>
        <v>0.26244905348683883</v>
      </c>
      <c r="V6" s="3">
        <f>$B$20*(1-$B$23)^V1</f>
        <v>0.25720007241710208</v>
      </c>
      <c r="W6" s="3">
        <f>$B$20*(1-$B$23)^W1</f>
        <v>0.25205607096876004</v>
      </c>
      <c r="X6" s="3">
        <f>$B$20*(1-$B$23)^X1</f>
        <v>0.24701494954938483</v>
      </c>
      <c r="Y6" s="3">
        <f>$B$20*(1-$B$23)^Y1</f>
        <v>0.24207465055839711</v>
      </c>
      <c r="Z6" s="3">
        <f>$B$20*(1-$B$23)^Z1</f>
        <v>0.23723315754722915</v>
      </c>
      <c r="AA6" s="3">
        <f>$B$20*(1-$B$23)^AA1</f>
        <v>0.23248849439628455</v>
      </c>
    </row>
    <row r="7" spans="1:27" x14ac:dyDescent="0.35">
      <c r="A7" t="s">
        <v>29</v>
      </c>
      <c r="B7">
        <f>B6*B1/1000</f>
        <v>1493.6</v>
      </c>
      <c r="C7" s="1"/>
      <c r="D7" t="s">
        <v>21</v>
      </c>
      <c r="E7" s="3">
        <v>40</v>
      </c>
      <c r="F7" s="3">
        <v>40</v>
      </c>
      <c r="G7" s="3">
        <v>40</v>
      </c>
      <c r="H7" s="3">
        <v>40</v>
      </c>
      <c r="I7" s="3">
        <v>40</v>
      </c>
      <c r="J7" s="3">
        <v>40</v>
      </c>
      <c r="K7" s="3">
        <v>40</v>
      </c>
      <c r="L7" s="3">
        <v>40</v>
      </c>
      <c r="M7" s="3">
        <v>40</v>
      </c>
      <c r="N7" s="3">
        <v>40</v>
      </c>
      <c r="O7" s="3">
        <v>40</v>
      </c>
      <c r="P7" s="3">
        <v>40</v>
      </c>
      <c r="Q7" s="3">
        <v>40</v>
      </c>
      <c r="R7" s="3">
        <v>40</v>
      </c>
      <c r="S7" s="3">
        <v>40</v>
      </c>
      <c r="T7" s="3">
        <v>40</v>
      </c>
      <c r="U7" s="3">
        <v>40</v>
      </c>
      <c r="V7" s="3">
        <v>40</v>
      </c>
      <c r="W7" s="3">
        <v>40</v>
      </c>
      <c r="X7" s="3">
        <v>40</v>
      </c>
      <c r="Y7" s="3">
        <v>40</v>
      </c>
      <c r="Z7" s="3">
        <v>40</v>
      </c>
      <c r="AA7" s="3">
        <v>40</v>
      </c>
    </row>
    <row r="8" spans="1:27" x14ac:dyDescent="0.35">
      <c r="A8" t="s">
        <v>30</v>
      </c>
      <c r="B8" s="1">
        <v>0.6</v>
      </c>
      <c r="D8" t="s">
        <v>54</v>
      </c>
      <c r="E8">
        <f>E6*E7*$B$19</f>
        <v>0</v>
      </c>
      <c r="F8">
        <f t="shared" ref="F8:AA8" si="7">F6*F7*$B$19</f>
        <v>0</v>
      </c>
      <c r="G8">
        <f t="shared" si="7"/>
        <v>0</v>
      </c>
      <c r="H8">
        <f t="shared" si="7"/>
        <v>0</v>
      </c>
      <c r="I8">
        <f t="shared" si="7"/>
        <v>0</v>
      </c>
      <c r="J8">
        <f t="shared" si="7"/>
        <v>0</v>
      </c>
      <c r="K8">
        <f t="shared" si="7"/>
        <v>0</v>
      </c>
      <c r="L8">
        <f t="shared" si="7"/>
        <v>0</v>
      </c>
      <c r="M8">
        <f t="shared" si="7"/>
        <v>0</v>
      </c>
      <c r="N8">
        <f t="shared" si="7"/>
        <v>0</v>
      </c>
      <c r="O8">
        <f t="shared" si="7"/>
        <v>0</v>
      </c>
      <c r="P8">
        <f t="shared" si="7"/>
        <v>0</v>
      </c>
      <c r="Q8">
        <f t="shared" si="7"/>
        <v>0</v>
      </c>
      <c r="R8">
        <f t="shared" si="7"/>
        <v>0</v>
      </c>
      <c r="S8">
        <f t="shared" si="7"/>
        <v>0</v>
      </c>
      <c r="T8">
        <f t="shared" si="7"/>
        <v>0</v>
      </c>
      <c r="U8">
        <f t="shared" si="7"/>
        <v>0</v>
      </c>
      <c r="V8">
        <f t="shared" si="7"/>
        <v>0</v>
      </c>
      <c r="W8">
        <f t="shared" si="7"/>
        <v>0</v>
      </c>
      <c r="X8">
        <f t="shared" si="7"/>
        <v>0</v>
      </c>
      <c r="Y8">
        <f t="shared" si="7"/>
        <v>0</v>
      </c>
      <c r="Z8">
        <f t="shared" si="7"/>
        <v>0</v>
      </c>
      <c r="AA8">
        <f t="shared" si="7"/>
        <v>0</v>
      </c>
    </row>
    <row r="9" spans="1:27" x14ac:dyDescent="0.35">
      <c r="A9" t="s">
        <v>31</v>
      </c>
      <c r="B9" s="1">
        <v>0.08</v>
      </c>
      <c r="D9" t="s">
        <v>50</v>
      </c>
      <c r="E9" s="3">
        <f>E8*E3/10^6</f>
        <v>0</v>
      </c>
      <c r="F9" s="3">
        <f t="shared" ref="F9:AA9" si="8">F8*F3/10^6</f>
        <v>0</v>
      </c>
      <c r="G9" s="3">
        <f t="shared" si="8"/>
        <v>0</v>
      </c>
      <c r="H9" s="3">
        <f t="shared" si="8"/>
        <v>0</v>
      </c>
      <c r="I9" s="3">
        <f t="shared" si="8"/>
        <v>0</v>
      </c>
      <c r="J9" s="3">
        <f t="shared" si="8"/>
        <v>0</v>
      </c>
      <c r="K9" s="3">
        <f t="shared" si="8"/>
        <v>0</v>
      </c>
      <c r="L9" s="3">
        <f t="shared" si="8"/>
        <v>0</v>
      </c>
      <c r="M9" s="3">
        <f t="shared" si="8"/>
        <v>0</v>
      </c>
      <c r="N9" s="3">
        <f t="shared" si="8"/>
        <v>0</v>
      </c>
      <c r="O9" s="3">
        <f t="shared" si="8"/>
        <v>0</v>
      </c>
      <c r="P9" s="3">
        <f t="shared" si="8"/>
        <v>0</v>
      </c>
      <c r="Q9" s="3">
        <f t="shared" si="8"/>
        <v>0</v>
      </c>
      <c r="R9" s="3">
        <f t="shared" si="8"/>
        <v>0</v>
      </c>
      <c r="S9" s="3">
        <f t="shared" si="8"/>
        <v>0</v>
      </c>
      <c r="T9" s="3">
        <f t="shared" si="8"/>
        <v>0</v>
      </c>
      <c r="U9" s="3">
        <f t="shared" si="8"/>
        <v>0</v>
      </c>
      <c r="V9" s="3">
        <f t="shared" si="8"/>
        <v>0</v>
      </c>
      <c r="W9" s="3">
        <f t="shared" si="8"/>
        <v>0</v>
      </c>
      <c r="X9" s="3">
        <f t="shared" si="8"/>
        <v>0</v>
      </c>
      <c r="Y9" s="3">
        <f t="shared" si="8"/>
        <v>0</v>
      </c>
      <c r="Z9" s="3">
        <f t="shared" si="8"/>
        <v>0</v>
      </c>
      <c r="AA9" s="3">
        <f t="shared" si="8"/>
        <v>0</v>
      </c>
    </row>
    <row r="10" spans="1:27" x14ac:dyDescent="0.35">
      <c r="A10" t="s">
        <v>41</v>
      </c>
      <c r="B10">
        <v>7.2</v>
      </c>
      <c r="D10" t="s">
        <v>26</v>
      </c>
      <c r="E10" s="3">
        <f>E5+E9</f>
        <v>0</v>
      </c>
      <c r="F10" s="3">
        <f>F5+F9</f>
        <v>0</v>
      </c>
      <c r="G10" s="3">
        <f>G5+G9</f>
        <v>0</v>
      </c>
      <c r="H10" s="3">
        <f>H5+H9</f>
        <v>330.55736087347196</v>
      </c>
      <c r="I10" s="3">
        <f>I5+I9</f>
        <v>337.16850809094143</v>
      </c>
      <c r="J10" s="3">
        <f>J5+J9</f>
        <v>343.91187825276029</v>
      </c>
      <c r="K10" s="3">
        <f>K5+K9</f>
        <v>350.79011581781555</v>
      </c>
      <c r="L10" s="3">
        <f>L5+L9</f>
        <v>357.80591813417175</v>
      </c>
      <c r="M10" s="3">
        <f>M5+M9</f>
        <v>364.96203649685521</v>
      </c>
      <c r="N10" s="3">
        <f>N5+N9</f>
        <v>372.26127722679229</v>
      </c>
      <c r="O10" s="3">
        <f>O5+O9</f>
        <v>379.70650277132819</v>
      </c>
      <c r="P10" s="3">
        <f>P5+P9</f>
        <v>387.30063282675462</v>
      </c>
      <c r="Q10" s="3">
        <f>Q5+Q9</f>
        <v>395.04664548328986</v>
      </c>
      <c r="R10" s="3">
        <f>R5+R9</f>
        <v>402.94757839295562</v>
      </c>
      <c r="S10" s="3">
        <f>S5+S9</f>
        <v>411.00652996081476</v>
      </c>
      <c r="T10" s="3">
        <f>T5+T9</f>
        <v>419.22666056003095</v>
      </c>
      <c r="U10" s="3">
        <f>U5+U9</f>
        <v>427.61119377123157</v>
      </c>
      <c r="V10" s="3">
        <f>V5+V9</f>
        <v>436.16341764665628</v>
      </c>
      <c r="W10" s="3">
        <f>W5+W9</f>
        <v>444.8866859995893</v>
      </c>
      <c r="X10" s="3">
        <f>X5+X9</f>
        <v>453.78441971958114</v>
      </c>
      <c r="Y10" s="3">
        <f>Y5+Y9</f>
        <v>462.86010811397279</v>
      </c>
      <c r="Z10" s="3">
        <f>Z5+Z9</f>
        <v>472.11731027625223</v>
      </c>
      <c r="AA10" s="3">
        <f>AA5+AA9</f>
        <v>481.55965648177732</v>
      </c>
    </row>
    <row r="11" spans="1:27" x14ac:dyDescent="0.35">
      <c r="A11" t="s">
        <v>44</v>
      </c>
      <c r="B11">
        <v>3</v>
      </c>
      <c r="D11" t="s">
        <v>3</v>
      </c>
      <c r="E11">
        <v>0</v>
      </c>
      <c r="F11">
        <v>0</v>
      </c>
      <c r="G11">
        <v>0</v>
      </c>
      <c r="H11" s="3">
        <f>$B$4</f>
        <v>23.384</v>
      </c>
      <c r="I11" s="3">
        <f>$B$4</f>
        <v>23.384</v>
      </c>
      <c r="J11" s="3">
        <f>$B$4</f>
        <v>23.384</v>
      </c>
      <c r="K11" s="3">
        <f>$B$4</f>
        <v>23.384</v>
      </c>
      <c r="L11" s="3">
        <f>$B$4</f>
        <v>23.384</v>
      </c>
      <c r="M11" s="3">
        <f>$B$4</f>
        <v>23.384</v>
      </c>
      <c r="N11" s="3">
        <f>$B$4</f>
        <v>23.384</v>
      </c>
      <c r="O11" s="3">
        <f>$B$4</f>
        <v>23.384</v>
      </c>
      <c r="P11" s="3">
        <f>$B$4</f>
        <v>23.384</v>
      </c>
      <c r="Q11" s="3">
        <f>$B$4</f>
        <v>23.384</v>
      </c>
      <c r="R11" s="3">
        <f>$B$4</f>
        <v>23.384</v>
      </c>
      <c r="S11" s="3">
        <f>$B$4</f>
        <v>23.384</v>
      </c>
      <c r="T11" s="3">
        <f>$B$4</f>
        <v>23.384</v>
      </c>
      <c r="U11" s="3">
        <f>$B$4</f>
        <v>23.384</v>
      </c>
      <c r="V11" s="3">
        <f>$B$4</f>
        <v>23.384</v>
      </c>
      <c r="W11" s="3">
        <f>$B$4</f>
        <v>23.384</v>
      </c>
      <c r="X11" s="3">
        <f>$B$4</f>
        <v>23.384</v>
      </c>
      <c r="Y11" s="3">
        <f>$B$4</f>
        <v>23.384</v>
      </c>
      <c r="Z11" s="3">
        <f>$B$4</f>
        <v>23.384</v>
      </c>
      <c r="AA11" s="3">
        <f>$B$4</f>
        <v>23.384</v>
      </c>
    </row>
    <row r="12" spans="1:27" x14ac:dyDescent="0.35">
      <c r="A12" t="s">
        <v>49</v>
      </c>
      <c r="B12">
        <v>0.02</v>
      </c>
      <c r="D12" t="s">
        <v>43</v>
      </c>
      <c r="E12" s="3">
        <f>$B$11*(1+$B$12)^(E1-1)</f>
        <v>3</v>
      </c>
      <c r="F12" s="3">
        <f>$B$11*(1+$B$12)^(F1-1)</f>
        <v>3.06</v>
      </c>
      <c r="G12" s="3">
        <f>$B$11*(1+$B$12)^(G1-1)</f>
        <v>3.1212</v>
      </c>
      <c r="H12" s="3">
        <f>$B$11*(1+$B$12)^(H1-1)</f>
        <v>3.183624</v>
      </c>
      <c r="I12" s="3">
        <f>$B$11*(1+$B$12)^(I1-1)</f>
        <v>3.2472964800000002</v>
      </c>
      <c r="J12" s="3">
        <f>$B$11*(1+$B$12)^(J1-1)</f>
        <v>3.3122424096</v>
      </c>
      <c r="K12" s="3">
        <f>$B$11*(1+$B$12)^(K1-1)</f>
        <v>3.378487257792</v>
      </c>
      <c r="L12" s="3">
        <f>$B$11*(1+$B$12)^(L1-1)</f>
        <v>3.4460570029478395</v>
      </c>
      <c r="M12" s="3">
        <f>$B$11*(1+$B$12)^(M1-1)</f>
        <v>3.5149781430067968</v>
      </c>
      <c r="N12" s="3">
        <f>$B$11*(1+$B$12)^(N1-1)</f>
        <v>3.5852777058669325</v>
      </c>
      <c r="O12" s="3">
        <f>$B$11*(1+$B$12)^(O1-1)</f>
        <v>3.6569832599842713</v>
      </c>
      <c r="P12" s="3">
        <f>$B$11*(1+$B$12)^(P1-1)</f>
        <v>3.7301229251839558</v>
      </c>
      <c r="Q12" s="3">
        <f>$B$11*(1+$B$12)^(Q1-1)</f>
        <v>3.8047253836876358</v>
      </c>
      <c r="R12" s="3">
        <f>$B$11*(1+$B$12)^(R1-1)</f>
        <v>3.8808198913613881</v>
      </c>
      <c r="S12" s="3">
        <f>$B$11*(1+$B$12)^(S1-1)</f>
        <v>3.9584362891886165</v>
      </c>
      <c r="T12" s="3">
        <f>$B$11*(1+$B$12)^(T1-1)</f>
        <v>4.0376050149723879</v>
      </c>
      <c r="U12" s="3">
        <f>$B$11*(1+$B$12)^(U1-1)</f>
        <v>4.1183571152718361</v>
      </c>
      <c r="V12" s="3">
        <f>$B$11*(1+$B$12)^(V1-1)</f>
        <v>4.2007242575772734</v>
      </c>
      <c r="W12" s="3">
        <f>$B$11*(1+$B$12)^(W1-1)</f>
        <v>4.2847387427288179</v>
      </c>
      <c r="X12" s="3">
        <f>$B$11*(1+$B$12)^(X1-1)</f>
        <v>4.3704335175833942</v>
      </c>
      <c r="Y12" s="3">
        <f>$B$11*(1+$B$12)^(Y1-1)</f>
        <v>4.4578421879350625</v>
      </c>
      <c r="Z12" s="3">
        <f>$B$11*(1+$B$12)^(Z1-1)</f>
        <v>4.5469990316937636</v>
      </c>
      <c r="AA12" s="3">
        <f>$B$11*(1+$B$12)^(AA1-1)</f>
        <v>4.6379390123276387</v>
      </c>
    </row>
    <row r="13" spans="1:27" x14ac:dyDescent="0.35">
      <c r="A13" t="s">
        <v>46</v>
      </c>
      <c r="B13">
        <f>B11*B10</f>
        <v>21.6</v>
      </c>
      <c r="D13" t="s">
        <v>39</v>
      </c>
      <c r="E13" s="3">
        <f>$B$10*E12</f>
        <v>21.6</v>
      </c>
      <c r="F13" s="3">
        <f t="shared" ref="F13:AA13" si="9">$B$10*F12</f>
        <v>22.032</v>
      </c>
      <c r="G13" s="3">
        <f t="shared" si="9"/>
        <v>22.472640000000002</v>
      </c>
      <c r="H13" s="3">
        <f t="shared" si="9"/>
        <v>22.922092800000001</v>
      </c>
      <c r="I13" s="3">
        <f t="shared" si="9"/>
        <v>23.380534656000002</v>
      </c>
      <c r="J13" s="3">
        <f t="shared" si="9"/>
        <v>23.848145349119999</v>
      </c>
      <c r="K13" s="3">
        <f t="shared" si="9"/>
        <v>24.3251082561024</v>
      </c>
      <c r="L13" s="3">
        <f t="shared" si="9"/>
        <v>24.811610421224444</v>
      </c>
      <c r="M13" s="3">
        <f t="shared" si="9"/>
        <v>25.307842629648938</v>
      </c>
      <c r="N13" s="3">
        <f t="shared" si="9"/>
        <v>25.813999482241915</v>
      </c>
      <c r="O13" s="3">
        <f t="shared" si="9"/>
        <v>26.330279471886755</v>
      </c>
      <c r="P13" s="3">
        <f t="shared" si="9"/>
        <v>26.856885061324483</v>
      </c>
      <c r="Q13" s="3">
        <f t="shared" si="9"/>
        <v>27.394022762550978</v>
      </c>
      <c r="R13" s="3">
        <f t="shared" si="9"/>
        <v>27.941903217801993</v>
      </c>
      <c r="S13" s="3">
        <f t="shared" si="9"/>
        <v>28.500741282158039</v>
      </c>
      <c r="T13" s="3">
        <f t="shared" si="9"/>
        <v>29.070756107801195</v>
      </c>
      <c r="U13" s="3">
        <f t="shared" si="9"/>
        <v>29.652171229957222</v>
      </c>
      <c r="V13" s="3">
        <f t="shared" si="9"/>
        <v>30.245214654556371</v>
      </c>
      <c r="W13" s="3">
        <f t="shared" si="9"/>
        <v>30.850118947647491</v>
      </c>
      <c r="X13" s="3">
        <f t="shared" si="9"/>
        <v>31.467121326600438</v>
      </c>
      <c r="Y13" s="3">
        <f t="shared" si="9"/>
        <v>32.096463753132454</v>
      </c>
      <c r="Z13" s="3">
        <f t="shared" si="9"/>
        <v>32.738393028195098</v>
      </c>
      <c r="AA13" s="3">
        <f t="shared" si="9"/>
        <v>33.393160888758999</v>
      </c>
    </row>
    <row r="14" spans="1:27" x14ac:dyDescent="0.35">
      <c r="A14" t="s">
        <v>47</v>
      </c>
      <c r="B14">
        <v>1</v>
      </c>
      <c r="D14" t="s">
        <v>40</v>
      </c>
      <c r="E14" s="3">
        <f>$B$16*E7*$B$19</f>
        <v>0</v>
      </c>
      <c r="F14" s="3">
        <f>$B$16*F7*$B$19</f>
        <v>0</v>
      </c>
      <c r="G14" s="3">
        <f>$B$16*G7*$B$19</f>
        <v>0</v>
      </c>
      <c r="H14" s="3">
        <f>$B$16*H7*$B$19</f>
        <v>0</v>
      </c>
      <c r="I14" s="3">
        <f>$B$16*I7*$B$19</f>
        <v>0</v>
      </c>
      <c r="J14" s="3">
        <f>$B$16*J7*$B$19</f>
        <v>0</v>
      </c>
      <c r="K14" s="3">
        <f>$B$16*K7*$B$19</f>
        <v>0</v>
      </c>
      <c r="L14" s="3">
        <f>$B$16*L7*$B$19</f>
        <v>0</v>
      </c>
      <c r="M14" s="3">
        <f>$B$16*M7*$B$19</f>
        <v>0</v>
      </c>
      <c r="N14" s="3">
        <f>$B$16*N7*$B$19</f>
        <v>0</v>
      </c>
      <c r="O14" s="3">
        <f>$B$16*O7*$B$19</f>
        <v>0</v>
      </c>
      <c r="P14" s="3">
        <f>$B$16*P7*$B$19</f>
        <v>0</v>
      </c>
      <c r="Q14" s="3">
        <f>$B$16*Q7*$B$19</f>
        <v>0</v>
      </c>
      <c r="R14" s="3">
        <f>$B$16*R7*$B$19</f>
        <v>0</v>
      </c>
      <c r="S14" s="3">
        <f>$B$16*S7*$B$19</f>
        <v>0</v>
      </c>
      <c r="T14" s="3">
        <f>$B$16*T7*$B$19</f>
        <v>0</v>
      </c>
      <c r="U14" s="3">
        <f>$B$16*U7*$B$19</f>
        <v>0</v>
      </c>
      <c r="V14" s="3">
        <f>$B$16*V7*$B$19</f>
        <v>0</v>
      </c>
      <c r="W14" s="3">
        <f>$B$16*W7*$B$19</f>
        <v>0</v>
      </c>
      <c r="X14" s="3">
        <f>$B$16*X7*$B$19</f>
        <v>0</v>
      </c>
      <c r="Y14" s="3">
        <f>$B$16*Y7*$B$19</f>
        <v>0</v>
      </c>
      <c r="Z14" s="3">
        <f>$B$16*Z7*$B$19</f>
        <v>0</v>
      </c>
      <c r="AA14" s="3">
        <f>$B$16*AA7*$B$19</f>
        <v>0</v>
      </c>
    </row>
    <row r="15" spans="1:27" x14ac:dyDescent="0.35">
      <c r="A15" t="s">
        <v>48</v>
      </c>
      <c r="B15">
        <f>1962*26.853/1000/1000</f>
        <v>5.2685586E-2</v>
      </c>
      <c r="D15" t="s">
        <v>4</v>
      </c>
      <c r="E15" s="3">
        <f>$B$14</f>
        <v>1</v>
      </c>
      <c r="F15" s="3">
        <f t="shared" ref="F15:AA15" si="10">$B$14</f>
        <v>1</v>
      </c>
      <c r="G15" s="3">
        <f t="shared" si="10"/>
        <v>1</v>
      </c>
      <c r="H15" s="3">
        <f t="shared" si="10"/>
        <v>1</v>
      </c>
      <c r="I15" s="3">
        <f t="shared" si="10"/>
        <v>1</v>
      </c>
      <c r="J15" s="3">
        <f t="shared" si="10"/>
        <v>1</v>
      </c>
      <c r="K15" s="3">
        <f t="shared" si="10"/>
        <v>1</v>
      </c>
      <c r="L15" s="3">
        <f t="shared" si="10"/>
        <v>1</v>
      </c>
      <c r="M15" s="3">
        <f t="shared" si="10"/>
        <v>1</v>
      </c>
      <c r="N15" s="3">
        <f t="shared" si="10"/>
        <v>1</v>
      </c>
      <c r="O15" s="3">
        <f t="shared" si="10"/>
        <v>1</v>
      </c>
      <c r="P15" s="3">
        <f t="shared" si="10"/>
        <v>1</v>
      </c>
      <c r="Q15" s="3">
        <f t="shared" si="10"/>
        <v>1</v>
      </c>
      <c r="R15" s="3">
        <f t="shared" si="10"/>
        <v>1</v>
      </c>
      <c r="S15" s="3">
        <f t="shared" si="10"/>
        <v>1</v>
      </c>
      <c r="T15" s="3">
        <f t="shared" si="10"/>
        <v>1</v>
      </c>
      <c r="U15" s="3">
        <f t="shared" si="10"/>
        <v>1</v>
      </c>
      <c r="V15" s="3">
        <f t="shared" si="10"/>
        <v>1</v>
      </c>
      <c r="W15" s="3">
        <f t="shared" si="10"/>
        <v>1</v>
      </c>
      <c r="X15" s="3">
        <f t="shared" si="10"/>
        <v>1</v>
      </c>
      <c r="Y15" s="3">
        <f t="shared" si="10"/>
        <v>1</v>
      </c>
      <c r="Z15" s="3">
        <f t="shared" si="10"/>
        <v>1</v>
      </c>
      <c r="AA15" s="3">
        <f t="shared" si="10"/>
        <v>1</v>
      </c>
    </row>
    <row r="16" spans="1:27" x14ac:dyDescent="0.35">
      <c r="A16" t="s">
        <v>45</v>
      </c>
      <c r="B16">
        <f>B15*B10</f>
        <v>0.37933621919999999</v>
      </c>
      <c r="D16" t="s">
        <v>51</v>
      </c>
      <c r="E16" s="3">
        <f>SUM(E13:E15)</f>
        <v>22.6</v>
      </c>
      <c r="F16" s="3">
        <f t="shared" ref="F16:AA16" si="11">SUM(F13:F15)</f>
        <v>23.032</v>
      </c>
      <c r="G16" s="3">
        <f t="shared" si="11"/>
        <v>23.472640000000002</v>
      </c>
      <c r="H16" s="3">
        <f t="shared" si="11"/>
        <v>23.922092800000001</v>
      </c>
      <c r="I16" s="3">
        <f t="shared" si="11"/>
        <v>24.380534656000002</v>
      </c>
      <c r="J16" s="3">
        <f t="shared" si="11"/>
        <v>24.848145349119999</v>
      </c>
      <c r="K16" s="3">
        <f t="shared" si="11"/>
        <v>25.3251082561024</v>
      </c>
      <c r="L16" s="3">
        <f t="shared" si="11"/>
        <v>25.811610421224444</v>
      </c>
      <c r="M16" s="3">
        <f t="shared" si="11"/>
        <v>26.307842629648938</v>
      </c>
      <c r="N16" s="3">
        <f t="shared" si="11"/>
        <v>26.813999482241915</v>
      </c>
      <c r="O16" s="3">
        <f t="shared" si="11"/>
        <v>27.330279471886755</v>
      </c>
      <c r="P16" s="3">
        <f t="shared" si="11"/>
        <v>27.856885061324483</v>
      </c>
      <c r="Q16" s="3">
        <f t="shared" si="11"/>
        <v>28.394022762550978</v>
      </c>
      <c r="R16" s="3">
        <f t="shared" si="11"/>
        <v>28.941903217801993</v>
      </c>
      <c r="S16" s="3">
        <f t="shared" si="11"/>
        <v>29.500741282158039</v>
      </c>
      <c r="T16" s="3">
        <f t="shared" si="11"/>
        <v>30.070756107801195</v>
      </c>
      <c r="U16" s="3">
        <f t="shared" si="11"/>
        <v>30.652171229957222</v>
      </c>
      <c r="V16" s="3">
        <f t="shared" si="11"/>
        <v>31.245214654556371</v>
      </c>
      <c r="W16" s="3">
        <f t="shared" si="11"/>
        <v>31.850118947647491</v>
      </c>
      <c r="X16" s="3">
        <f t="shared" si="11"/>
        <v>32.467121326600434</v>
      </c>
      <c r="Y16" s="3">
        <f t="shared" si="11"/>
        <v>33.096463753132454</v>
      </c>
      <c r="Z16" s="3">
        <f t="shared" si="11"/>
        <v>33.738393028195098</v>
      </c>
      <c r="AA16" s="3">
        <f t="shared" si="11"/>
        <v>34.393160888758999</v>
      </c>
    </row>
    <row r="17" spans="1:27" x14ac:dyDescent="0.35">
      <c r="D17" t="s">
        <v>53</v>
      </c>
      <c r="E17" s="3">
        <f>E14-E8</f>
        <v>0</v>
      </c>
      <c r="F17" s="3">
        <f t="shared" ref="F17:AA17" si="12">F14-F8</f>
        <v>0</v>
      </c>
      <c r="G17" s="3">
        <f t="shared" si="12"/>
        <v>0</v>
      </c>
      <c r="H17" s="3">
        <f t="shared" si="12"/>
        <v>0</v>
      </c>
      <c r="I17" s="3">
        <f t="shared" si="12"/>
        <v>0</v>
      </c>
      <c r="J17" s="3">
        <f t="shared" si="12"/>
        <v>0</v>
      </c>
      <c r="K17" s="3">
        <f t="shared" si="12"/>
        <v>0</v>
      </c>
      <c r="L17" s="3">
        <f t="shared" si="12"/>
        <v>0</v>
      </c>
      <c r="M17" s="3">
        <f t="shared" si="12"/>
        <v>0</v>
      </c>
      <c r="N17" s="3">
        <f t="shared" si="12"/>
        <v>0</v>
      </c>
      <c r="O17" s="3">
        <f t="shared" si="12"/>
        <v>0</v>
      </c>
      <c r="P17" s="3">
        <f t="shared" si="12"/>
        <v>0</v>
      </c>
      <c r="Q17" s="3">
        <f t="shared" si="12"/>
        <v>0</v>
      </c>
      <c r="R17" s="3">
        <f t="shared" si="12"/>
        <v>0</v>
      </c>
      <c r="S17" s="3">
        <f t="shared" si="12"/>
        <v>0</v>
      </c>
      <c r="T17" s="3">
        <f t="shared" si="12"/>
        <v>0</v>
      </c>
      <c r="U17" s="3">
        <f t="shared" si="12"/>
        <v>0</v>
      </c>
      <c r="V17" s="3">
        <f t="shared" si="12"/>
        <v>0</v>
      </c>
      <c r="W17" s="3">
        <f t="shared" si="12"/>
        <v>0</v>
      </c>
      <c r="X17" s="3">
        <f t="shared" si="12"/>
        <v>0</v>
      </c>
      <c r="Y17" s="3">
        <f t="shared" si="12"/>
        <v>0</v>
      </c>
      <c r="Z17" s="3">
        <f t="shared" si="12"/>
        <v>0</v>
      </c>
      <c r="AA17" s="3">
        <f t="shared" si="12"/>
        <v>0</v>
      </c>
    </row>
    <row r="18" spans="1:27" x14ac:dyDescent="0.35">
      <c r="D18" t="s">
        <v>5</v>
      </c>
      <c r="E18" s="3">
        <f>(E13+E14+E15)*E3/10^6+E11</f>
        <v>0</v>
      </c>
      <c r="F18" s="3">
        <f>(F13+F14+F15)*F3/10^6+F11</f>
        <v>0</v>
      </c>
      <c r="G18" s="3">
        <f>(G13+G14+G15)*G3/10^6+G11</f>
        <v>0</v>
      </c>
      <c r="H18" s="3">
        <f>(H13+H14+H15)*H3/10^6+H11</f>
        <v>157.50082107392001</v>
      </c>
      <c r="I18" s="3">
        <f>(I13+I14+I15)*I3/10^6+I11</f>
        <v>160.07102949539842</v>
      </c>
      <c r="J18" s="3">
        <f>(J13+J14+J15)*J3/10^6+J11</f>
        <v>162.69264208530637</v>
      </c>
      <c r="K18" s="3">
        <f>(K13+K14+K15)*K3/10^6+K11</f>
        <v>165.36668692701249</v>
      </c>
      <c r="L18" s="3">
        <f>(L13+L14+L15)*L3/10^6+L11</f>
        <v>168.09421266555273</v>
      </c>
      <c r="M18" s="3">
        <f>(M13+M14+M15)*M3/10^6+M11</f>
        <v>170.87628891886379</v>
      </c>
      <c r="N18" s="3">
        <f>(N13+N14+N15)*N3/10^6+N11</f>
        <v>173.71400669724108</v>
      </c>
      <c r="O18" s="3">
        <f>(O13+O14+O15)*O3/10^6+O11</f>
        <v>176.60847883118589</v>
      </c>
      <c r="P18" s="3">
        <f>(P13+P14+P15)*P3/10^6+P11</f>
        <v>179.56084040780956</v>
      </c>
      <c r="Q18" s="3">
        <f>(Q13+Q14+Q15)*Q3/10^6+Q11</f>
        <v>182.57224921596583</v>
      </c>
      <c r="R18" s="3">
        <f>(R13+R14+R15)*R3/10^6+R11</f>
        <v>185.64388620028512</v>
      </c>
      <c r="S18" s="3">
        <f>(S13+S14+S15)*S3/10^6+S11</f>
        <v>188.77695592429086</v>
      </c>
      <c r="T18" s="3">
        <f>(T13+T14+T15)*T3/10^6+T11</f>
        <v>191.97268704277661</v>
      </c>
      <c r="U18" s="3">
        <f>(U13+U14+U15)*U3/10^6+U11</f>
        <v>195.23233278363216</v>
      </c>
      <c r="V18" s="3">
        <f>(V13+V14+V15)*V3/10^6+V11</f>
        <v>198.55717143930485</v>
      </c>
      <c r="W18" s="3">
        <f>(W13+W14+W15)*W3/10^6+W11</f>
        <v>201.94850686809087</v>
      </c>
      <c r="X18" s="3">
        <f>(X13+X14+X15)*X3/10^6+X11</f>
        <v>205.40766900545265</v>
      </c>
      <c r="Y18" s="3">
        <f>(Y13+Y14+Y15)*Y3/10^6+Y11</f>
        <v>208.9360143855618</v>
      </c>
      <c r="Z18" s="3">
        <f>(Z13+Z14+Z15)*Z3/10^6+Z11</f>
        <v>212.53492667327299</v>
      </c>
      <c r="AA18" s="3">
        <f>(AA13+AA14+AA15)*AA3/10^6+AA11</f>
        <v>216.20581720673846</v>
      </c>
    </row>
    <row r="19" spans="1:27" x14ac:dyDescent="0.35">
      <c r="A19" t="s">
        <v>52</v>
      </c>
      <c r="B19">
        <v>0</v>
      </c>
      <c r="D19" t="s">
        <v>59</v>
      </c>
      <c r="E19" s="3">
        <f>(E13+E15)*E3/10^6+E11</f>
        <v>0</v>
      </c>
      <c r="F19" s="3">
        <f t="shared" ref="F19:AA19" si="13">(F13+F15)*F3/10^6+F11</f>
        <v>0</v>
      </c>
      <c r="G19" s="3">
        <f t="shared" si="13"/>
        <v>0</v>
      </c>
      <c r="H19" s="3">
        <f t="shared" si="13"/>
        <v>157.50082107392001</v>
      </c>
      <c r="I19" s="3">
        <f t="shared" si="13"/>
        <v>160.07102949539842</v>
      </c>
      <c r="J19" s="3">
        <f t="shared" si="13"/>
        <v>162.69264208530637</v>
      </c>
      <c r="K19" s="3">
        <f t="shared" si="13"/>
        <v>165.36668692701249</v>
      </c>
      <c r="L19" s="3">
        <f t="shared" si="13"/>
        <v>168.09421266555273</v>
      </c>
      <c r="M19" s="3">
        <f t="shared" si="13"/>
        <v>170.87628891886379</v>
      </c>
      <c r="N19" s="3">
        <f t="shared" si="13"/>
        <v>173.71400669724108</v>
      </c>
      <c r="O19" s="3">
        <f t="shared" si="13"/>
        <v>176.60847883118589</v>
      </c>
      <c r="P19" s="3">
        <f t="shared" si="13"/>
        <v>179.56084040780956</v>
      </c>
      <c r="Q19" s="3">
        <f t="shared" si="13"/>
        <v>182.57224921596583</v>
      </c>
      <c r="R19" s="3">
        <f t="shared" si="13"/>
        <v>185.64388620028512</v>
      </c>
      <c r="S19" s="3">
        <f t="shared" si="13"/>
        <v>188.77695592429086</v>
      </c>
      <c r="T19" s="3">
        <f t="shared" si="13"/>
        <v>191.97268704277661</v>
      </c>
      <c r="U19" s="3">
        <f t="shared" si="13"/>
        <v>195.23233278363216</v>
      </c>
      <c r="V19" s="3">
        <f t="shared" si="13"/>
        <v>198.55717143930485</v>
      </c>
      <c r="W19" s="3">
        <f t="shared" si="13"/>
        <v>201.94850686809087</v>
      </c>
      <c r="X19" s="3">
        <f t="shared" si="13"/>
        <v>205.40766900545265</v>
      </c>
      <c r="Y19" s="3">
        <f t="shared" si="13"/>
        <v>208.9360143855618</v>
      </c>
      <c r="Z19" s="3">
        <f t="shared" si="13"/>
        <v>212.53492667327299</v>
      </c>
      <c r="AA19" s="3">
        <f t="shared" si="13"/>
        <v>216.20581720673846</v>
      </c>
    </row>
    <row r="20" spans="1:27" x14ac:dyDescent="0.35">
      <c r="A20" t="s">
        <v>16</v>
      </c>
      <c r="B20">
        <v>0.37</v>
      </c>
      <c r="D20" t="s">
        <v>60</v>
      </c>
      <c r="E20" s="3">
        <f>(E14)*E3/10^6</f>
        <v>0</v>
      </c>
      <c r="F20" s="3">
        <f t="shared" ref="F20:AA20" si="14">(F14)*F3/10^6</f>
        <v>0</v>
      </c>
      <c r="G20" s="3">
        <f t="shared" si="14"/>
        <v>0</v>
      </c>
      <c r="H20" s="3">
        <f t="shared" si="14"/>
        <v>0</v>
      </c>
      <c r="I20" s="3">
        <f t="shared" si="14"/>
        <v>0</v>
      </c>
      <c r="J20" s="3">
        <f t="shared" si="14"/>
        <v>0</v>
      </c>
      <c r="K20" s="3">
        <f t="shared" si="14"/>
        <v>0</v>
      </c>
      <c r="L20" s="3">
        <f t="shared" si="14"/>
        <v>0</v>
      </c>
      <c r="M20" s="3">
        <f t="shared" si="14"/>
        <v>0</v>
      </c>
      <c r="N20" s="3">
        <f t="shared" si="14"/>
        <v>0</v>
      </c>
      <c r="O20" s="3">
        <f t="shared" si="14"/>
        <v>0</v>
      </c>
      <c r="P20" s="3">
        <f t="shared" si="14"/>
        <v>0</v>
      </c>
      <c r="Q20" s="3">
        <f t="shared" si="14"/>
        <v>0</v>
      </c>
      <c r="R20" s="3">
        <f t="shared" si="14"/>
        <v>0</v>
      </c>
      <c r="S20" s="3">
        <f t="shared" si="14"/>
        <v>0</v>
      </c>
      <c r="T20" s="3">
        <f t="shared" si="14"/>
        <v>0</v>
      </c>
      <c r="U20" s="3">
        <f t="shared" si="14"/>
        <v>0</v>
      </c>
      <c r="V20" s="3">
        <f t="shared" si="14"/>
        <v>0</v>
      </c>
      <c r="W20" s="3">
        <f t="shared" si="14"/>
        <v>0</v>
      </c>
      <c r="X20" s="3">
        <f t="shared" si="14"/>
        <v>0</v>
      </c>
      <c r="Y20" s="3">
        <f t="shared" si="14"/>
        <v>0</v>
      </c>
      <c r="Z20" s="3">
        <f t="shared" si="14"/>
        <v>0</v>
      </c>
      <c r="AA20" s="3">
        <f t="shared" si="14"/>
        <v>0</v>
      </c>
    </row>
    <row r="21" spans="1:27" x14ac:dyDescent="0.35">
      <c r="A21" t="s">
        <v>17</v>
      </c>
      <c r="B21">
        <v>50</v>
      </c>
      <c r="D21" t="s">
        <v>7</v>
      </c>
      <c r="E21">
        <f>$B$7/3</f>
        <v>497.86666666666662</v>
      </c>
      <c r="F21">
        <f>$B$7/3</f>
        <v>497.86666666666662</v>
      </c>
      <c r="G21">
        <f>$B$7/3</f>
        <v>497.86666666666662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</row>
    <row r="22" spans="1:27" x14ac:dyDescent="0.35">
      <c r="A22" t="s">
        <v>22</v>
      </c>
      <c r="B22">
        <v>0.02</v>
      </c>
      <c r="D22" s="6" t="s">
        <v>6</v>
      </c>
      <c r="E22" s="7">
        <f>E10-E18</f>
        <v>0</v>
      </c>
      <c r="F22" s="7">
        <f>F10-F18</f>
        <v>0</v>
      </c>
      <c r="G22" s="7">
        <f>G10-G18</f>
        <v>0</v>
      </c>
      <c r="H22" s="7">
        <f>H10-H18</f>
        <v>173.05653979955196</v>
      </c>
      <c r="I22" s="7">
        <f>I10-I18</f>
        <v>177.09747859554301</v>
      </c>
      <c r="J22" s="7">
        <f>J10-J18</f>
        <v>181.21923616745391</v>
      </c>
      <c r="K22" s="7">
        <f>K10-K18</f>
        <v>185.42342889080305</v>
      </c>
      <c r="L22" s="7">
        <f>L10-L18</f>
        <v>189.71170546861902</v>
      </c>
      <c r="M22" s="7">
        <f>M10-M18</f>
        <v>194.08574757799141</v>
      </c>
      <c r="N22" s="7">
        <f>N10-N18</f>
        <v>198.54727052955121</v>
      </c>
      <c r="O22" s="7">
        <f>O10-O18</f>
        <v>203.0980239401423</v>
      </c>
      <c r="P22" s="7">
        <f>P10-P18</f>
        <v>207.73979241894506</v>
      </c>
      <c r="Q22" s="7">
        <f>Q10-Q18</f>
        <v>212.47439626732404</v>
      </c>
      <c r="R22" s="7">
        <f>R10-R18</f>
        <v>217.3036921926705</v>
      </c>
      <c r="S22" s="7">
        <f>S10-S18</f>
        <v>222.2295740365239</v>
      </c>
      <c r="T22" s="7">
        <f>T10-T18</f>
        <v>227.25397351725434</v>
      </c>
      <c r="U22" s="7">
        <f>U10-U18</f>
        <v>232.37886098759941</v>
      </c>
      <c r="V22" s="7">
        <f>V10-V18</f>
        <v>237.60624620735143</v>
      </c>
      <c r="W22" s="7">
        <f>W10-W18</f>
        <v>242.93817913149843</v>
      </c>
      <c r="X22" s="7">
        <f>X10-X18</f>
        <v>248.37675071412849</v>
      </c>
      <c r="Y22" s="7">
        <f>Y10-Y18</f>
        <v>253.92409372841098</v>
      </c>
      <c r="Z22" s="7">
        <f>Z10-Z18</f>
        <v>259.58238360297923</v>
      </c>
      <c r="AA22" s="7">
        <f>AA10-AA18</f>
        <v>265.35383927503887</v>
      </c>
    </row>
    <row r="23" spans="1:27" x14ac:dyDescent="0.35">
      <c r="A23" t="s">
        <v>23</v>
      </c>
      <c r="B23">
        <v>0.02</v>
      </c>
      <c r="D23" t="s">
        <v>8</v>
      </c>
      <c r="E23" s="3">
        <f>B26/3</f>
        <v>298.71999999999997</v>
      </c>
      <c r="F23" s="3">
        <f>E26+B26/3</f>
        <v>579.66713055150035</v>
      </c>
      <c r="G23" s="3">
        <f>F26+B26/3</f>
        <v>835.29483154712079</v>
      </c>
      <c r="H23" s="3">
        <f>G26</f>
        <v>812.65274862239096</v>
      </c>
      <c r="I23" s="3">
        <f>H26</f>
        <v>788.1992990636827</v>
      </c>
      <c r="J23" s="3">
        <f t="shared" ref="J23" si="15">I26</f>
        <v>761.78957354027784</v>
      </c>
      <c r="K23" s="3">
        <f>G26</f>
        <v>812.65274862239096</v>
      </c>
      <c r="L23" s="3">
        <f t="shared" ref="L23:AA23" si="16">K26</f>
        <v>788.1992990636827</v>
      </c>
      <c r="M23" s="3">
        <f t="shared" si="16"/>
        <v>761.78957354027784</v>
      </c>
      <c r="N23" s="3">
        <f t="shared" si="16"/>
        <v>733.2670699750006</v>
      </c>
      <c r="O23" s="3">
        <f t="shared" si="16"/>
        <v>702.46276612450117</v>
      </c>
      <c r="P23" s="3">
        <f t="shared" si="16"/>
        <v>669.19411796596171</v>
      </c>
      <c r="Q23" s="3">
        <f t="shared" si="16"/>
        <v>633.26397795473918</v>
      </c>
      <c r="R23" s="3">
        <f t="shared" si="16"/>
        <v>594.4594267426188</v>
      </c>
      <c r="S23" s="3">
        <f t="shared" si="16"/>
        <v>552.55051143352875</v>
      </c>
      <c r="T23" s="3">
        <f t="shared" si="16"/>
        <v>507.28888289971155</v>
      </c>
      <c r="U23" s="3">
        <f t="shared" si="16"/>
        <v>458.40632408318902</v>
      </c>
      <c r="V23" s="3">
        <f t="shared" si="16"/>
        <v>405.61316056134467</v>
      </c>
      <c r="W23" s="3">
        <f t="shared" si="16"/>
        <v>348.59654395775271</v>
      </c>
      <c r="X23" s="3">
        <f t="shared" si="16"/>
        <v>287.01859802587342</v>
      </c>
      <c r="Y23" s="3">
        <f t="shared" si="16"/>
        <v>220.51441641944379</v>
      </c>
      <c r="Z23" s="3">
        <f t="shared" si="16"/>
        <v>148.6899002844998</v>
      </c>
      <c r="AA23" s="3">
        <f t="shared" si="16"/>
        <v>71.119422858760288</v>
      </c>
    </row>
    <row r="24" spans="1:27" x14ac:dyDescent="0.35">
      <c r="D24" t="s">
        <v>9</v>
      </c>
      <c r="E24" s="3">
        <f>B26*$B$9</f>
        <v>71.692800000000005</v>
      </c>
      <c r="F24" s="3">
        <f>F23*$B$9</f>
        <v>46.373370444120027</v>
      </c>
      <c r="G24" s="3">
        <f>G23*$B$9</f>
        <v>66.823586523769663</v>
      </c>
      <c r="H24" s="3">
        <f t="shared" ref="H24:AA24" si="17">H23*$B$9</f>
        <v>65.012219889791282</v>
      </c>
      <c r="I24" s="3">
        <f t="shared" si="17"/>
        <v>63.055943925094617</v>
      </c>
      <c r="J24" s="3">
        <f t="shared" si="17"/>
        <v>60.943165883222228</v>
      </c>
      <c r="K24" s="3">
        <f t="shared" si="17"/>
        <v>65.012219889791282</v>
      </c>
      <c r="L24" s="3">
        <f t="shared" si="17"/>
        <v>63.055943925094617</v>
      </c>
      <c r="M24" s="3">
        <f t="shared" si="17"/>
        <v>60.943165883222228</v>
      </c>
      <c r="N24" s="3">
        <f t="shared" si="17"/>
        <v>58.661365598000046</v>
      </c>
      <c r="O24" s="3">
        <f t="shared" si="17"/>
        <v>56.197021289960098</v>
      </c>
      <c r="P24" s="3">
        <f t="shared" si="17"/>
        <v>53.535529437276935</v>
      </c>
      <c r="Q24" s="3">
        <f t="shared" si="17"/>
        <v>50.661118236379139</v>
      </c>
      <c r="R24" s="3">
        <f t="shared" si="17"/>
        <v>47.556754139409506</v>
      </c>
      <c r="S24" s="3">
        <f t="shared" si="17"/>
        <v>44.204040914682302</v>
      </c>
      <c r="T24" s="3">
        <f t="shared" si="17"/>
        <v>40.583110631976922</v>
      </c>
      <c r="U24" s="3">
        <f t="shared" si="17"/>
        <v>36.67250592665512</v>
      </c>
      <c r="V24" s="3">
        <f t="shared" si="17"/>
        <v>32.449052844907577</v>
      </c>
      <c r="W24" s="3">
        <f t="shared" si="17"/>
        <v>27.887723516620216</v>
      </c>
      <c r="X24" s="3">
        <f t="shared" si="17"/>
        <v>22.961487842069875</v>
      </c>
      <c r="Y24" s="3">
        <f t="shared" si="17"/>
        <v>17.641153313555503</v>
      </c>
      <c r="Z24" s="3">
        <f t="shared" si="17"/>
        <v>11.895192022759984</v>
      </c>
      <c r="AA24" s="3">
        <f t="shared" si="17"/>
        <v>5.6895538287008227</v>
      </c>
    </row>
    <row r="25" spans="1:27" x14ac:dyDescent="0.35">
      <c r="A25" t="s">
        <v>33</v>
      </c>
      <c r="B25">
        <f>(1-B8)*B7</f>
        <v>597.43999999999994</v>
      </c>
      <c r="D25" t="s">
        <v>10</v>
      </c>
      <c r="E25" s="5">
        <f>MIN(PMT($B$9,21,-$B$26),E23+E24)</f>
        <v>89.465669448499483</v>
      </c>
      <c r="F25" s="5">
        <f t="shared" ref="F25:AA25" si="18">MIN(PMT($B$9,21,-$B$26),F23+F24)</f>
        <v>89.465669448499483</v>
      </c>
      <c r="G25" s="5">
        <f t="shared" si="18"/>
        <v>89.465669448499483</v>
      </c>
      <c r="H25" s="5">
        <f t="shared" si="18"/>
        <v>89.465669448499483</v>
      </c>
      <c r="I25" s="5">
        <f t="shared" si="18"/>
        <v>89.465669448499483</v>
      </c>
      <c r="J25" s="5">
        <f t="shared" si="18"/>
        <v>89.465669448499483</v>
      </c>
      <c r="K25" s="5">
        <f t="shared" si="18"/>
        <v>89.465669448499483</v>
      </c>
      <c r="L25" s="5">
        <f t="shared" si="18"/>
        <v>89.465669448499483</v>
      </c>
      <c r="M25" s="5">
        <f t="shared" si="18"/>
        <v>89.465669448499483</v>
      </c>
      <c r="N25" s="5">
        <f t="shared" si="18"/>
        <v>89.465669448499483</v>
      </c>
      <c r="O25" s="5">
        <f t="shared" si="18"/>
        <v>89.465669448499483</v>
      </c>
      <c r="P25" s="5">
        <f t="shared" si="18"/>
        <v>89.465669448499483</v>
      </c>
      <c r="Q25" s="5">
        <f t="shared" si="18"/>
        <v>89.465669448499483</v>
      </c>
      <c r="R25" s="5">
        <f t="shared" si="18"/>
        <v>89.465669448499483</v>
      </c>
      <c r="S25" s="5">
        <f t="shared" si="18"/>
        <v>89.465669448499483</v>
      </c>
      <c r="T25" s="5">
        <f t="shared" si="18"/>
        <v>89.465669448499483</v>
      </c>
      <c r="U25" s="5">
        <f t="shared" si="18"/>
        <v>89.465669448499483</v>
      </c>
      <c r="V25" s="5">
        <f t="shared" si="18"/>
        <v>89.465669448499483</v>
      </c>
      <c r="W25" s="5">
        <f t="shared" si="18"/>
        <v>89.465669448499483</v>
      </c>
      <c r="X25" s="5">
        <f t="shared" si="18"/>
        <v>89.465669448499483</v>
      </c>
      <c r="Y25" s="5">
        <f t="shared" si="18"/>
        <v>89.465669448499483</v>
      </c>
      <c r="Z25" s="5">
        <f t="shared" si="18"/>
        <v>89.465669448499483</v>
      </c>
      <c r="AA25" s="5">
        <f t="shared" si="18"/>
        <v>76.808976687461112</v>
      </c>
    </row>
    <row r="26" spans="1:27" x14ac:dyDescent="0.35">
      <c r="A26" t="s">
        <v>32</v>
      </c>
      <c r="B26">
        <f>B7*B8</f>
        <v>896.16</v>
      </c>
      <c r="D26" t="s">
        <v>11</v>
      </c>
      <c r="E26" s="3">
        <f>E23+E24-E25</f>
        <v>280.94713055150044</v>
      </c>
      <c r="F26" s="3">
        <f>F23+F24-F25</f>
        <v>536.57483154712088</v>
      </c>
      <c r="G26" s="3">
        <f t="shared" ref="G26:AA26" si="19">G23+G24-G25</f>
        <v>812.65274862239096</v>
      </c>
      <c r="H26" s="3">
        <f>H23+H24-H25</f>
        <v>788.1992990636827</v>
      </c>
      <c r="I26" s="3">
        <f>I23+I24-I25</f>
        <v>761.78957354027784</v>
      </c>
      <c r="J26" s="3">
        <f t="shared" ref="J26" si="20">J23+J24-J25</f>
        <v>733.2670699750006</v>
      </c>
      <c r="K26" s="3">
        <f t="shared" si="19"/>
        <v>788.1992990636827</v>
      </c>
      <c r="L26" s="3">
        <f t="shared" si="19"/>
        <v>761.78957354027784</v>
      </c>
      <c r="M26" s="3">
        <f t="shared" si="19"/>
        <v>733.2670699750006</v>
      </c>
      <c r="N26" s="3">
        <f t="shared" si="19"/>
        <v>702.46276612450117</v>
      </c>
      <c r="O26" s="3">
        <f t="shared" si="19"/>
        <v>669.19411796596171</v>
      </c>
      <c r="P26" s="3">
        <f t="shared" si="19"/>
        <v>633.26397795473918</v>
      </c>
      <c r="Q26" s="3">
        <f t="shared" si="19"/>
        <v>594.4594267426188</v>
      </c>
      <c r="R26" s="3">
        <f t="shared" si="19"/>
        <v>552.55051143352875</v>
      </c>
      <c r="S26" s="3">
        <f t="shared" si="19"/>
        <v>507.28888289971155</v>
      </c>
      <c r="T26" s="3">
        <f t="shared" si="19"/>
        <v>458.40632408318902</v>
      </c>
      <c r="U26" s="3">
        <f t="shared" si="19"/>
        <v>405.61316056134467</v>
      </c>
      <c r="V26" s="3">
        <f t="shared" si="19"/>
        <v>348.59654395775271</v>
      </c>
      <c r="W26" s="3">
        <f t="shared" si="19"/>
        <v>287.01859802587342</v>
      </c>
      <c r="X26" s="3">
        <f t="shared" si="19"/>
        <v>220.51441641944379</v>
      </c>
      <c r="Y26" s="3">
        <f t="shared" si="19"/>
        <v>148.6899002844998</v>
      </c>
      <c r="Z26" s="3">
        <f t="shared" si="19"/>
        <v>71.119422858760288</v>
      </c>
      <c r="AA26" s="3">
        <f t="shared" si="19"/>
        <v>0</v>
      </c>
    </row>
    <row r="27" spans="1:27" x14ac:dyDescent="0.35">
      <c r="D27" t="s">
        <v>12</v>
      </c>
      <c r="E27" s="3">
        <f>E25-E24</f>
        <v>17.772869448499478</v>
      </c>
      <c r="F27" s="3">
        <f t="shared" ref="F27:AA27" si="21">F25-F24</f>
        <v>43.092299004379456</v>
      </c>
      <c r="G27" s="3">
        <f t="shared" si="21"/>
        <v>22.64208292472982</v>
      </c>
      <c r="H27" s="3">
        <f>H25-H24</f>
        <v>24.453449558708201</v>
      </c>
      <c r="I27" s="3">
        <f t="shared" ref="I27:J27" si="22">I25-I24</f>
        <v>26.409725523404866</v>
      </c>
      <c r="J27" s="3">
        <f t="shared" si="22"/>
        <v>28.522503565277255</v>
      </c>
      <c r="K27" s="3">
        <f t="shared" si="21"/>
        <v>24.453449558708201</v>
      </c>
      <c r="L27" s="3">
        <f t="shared" si="21"/>
        <v>26.409725523404866</v>
      </c>
      <c r="M27" s="3">
        <f t="shared" si="21"/>
        <v>28.522503565277255</v>
      </c>
      <c r="N27" s="3">
        <f t="shared" si="21"/>
        <v>30.804303850499437</v>
      </c>
      <c r="O27" s="3">
        <f t="shared" si="21"/>
        <v>33.268648158539385</v>
      </c>
      <c r="P27" s="3">
        <f t="shared" si="21"/>
        <v>35.930140011222548</v>
      </c>
      <c r="Q27" s="3">
        <f t="shared" si="21"/>
        <v>38.804551212120344</v>
      </c>
      <c r="R27" s="3">
        <f t="shared" si="21"/>
        <v>41.908915309089977</v>
      </c>
      <c r="S27" s="3">
        <f t="shared" si="21"/>
        <v>45.261628533817181</v>
      </c>
      <c r="T27" s="3">
        <f t="shared" si="21"/>
        <v>48.882558816522561</v>
      </c>
      <c r="U27" s="3">
        <f t="shared" si="21"/>
        <v>52.793163521844363</v>
      </c>
      <c r="V27" s="3">
        <f t="shared" si="21"/>
        <v>57.016616603591906</v>
      </c>
      <c r="W27" s="3">
        <f t="shared" si="21"/>
        <v>61.57794593187927</v>
      </c>
      <c r="X27" s="3">
        <f t="shared" si="21"/>
        <v>66.504181606429611</v>
      </c>
      <c r="Y27" s="3">
        <f t="shared" si="21"/>
        <v>71.824516134943977</v>
      </c>
      <c r="Z27" s="3">
        <f t="shared" si="21"/>
        <v>77.570477425739497</v>
      </c>
      <c r="AA27" s="3">
        <f t="shared" si="21"/>
        <v>71.119422858760288</v>
      </c>
    </row>
    <row r="28" spans="1:27" x14ac:dyDescent="0.35">
      <c r="A28" t="s">
        <v>15</v>
      </c>
      <c r="B28">
        <f>0.08+0.15</f>
        <v>0.22999999999999998</v>
      </c>
      <c r="H28" s="3"/>
    </row>
    <row r="29" spans="1:27" x14ac:dyDescent="0.35">
      <c r="D29" t="s">
        <v>13</v>
      </c>
      <c r="E29" s="3">
        <v>0</v>
      </c>
      <c r="F29" s="3">
        <v>0</v>
      </c>
      <c r="G29" s="3">
        <v>0</v>
      </c>
      <c r="H29" s="3">
        <f>$B$7/5*0.5</f>
        <v>149.35999999999999</v>
      </c>
      <c r="I29" s="3">
        <f>$B$7/5</f>
        <v>298.71999999999997</v>
      </c>
      <c r="J29" s="3">
        <f t="shared" ref="J29:L29" si="23">$B$7/5</f>
        <v>298.71999999999997</v>
      </c>
      <c r="K29" s="3">
        <f t="shared" si="23"/>
        <v>298.71999999999997</v>
      </c>
      <c r="L29" s="3">
        <f t="shared" si="23"/>
        <v>298.71999999999997</v>
      </c>
      <c r="M29" s="3">
        <f>$B$7/5*0.5</f>
        <v>149.35999999999999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</row>
    <row r="30" spans="1:27" x14ac:dyDescent="0.35">
      <c r="D30" t="s">
        <v>14</v>
      </c>
      <c r="E30" s="3">
        <f>E22-E24-E29</f>
        <v>-71.692800000000005</v>
      </c>
      <c r="F30" s="3">
        <f>F22-F24-F29</f>
        <v>-46.373370444120027</v>
      </c>
      <c r="G30" s="3">
        <f>G22-G24-G29</f>
        <v>-66.823586523769663</v>
      </c>
      <c r="H30" s="3">
        <f>H22-H24-H29</f>
        <v>-41.315680090239312</v>
      </c>
      <c r="I30" s="3">
        <f>I22-I24-I29</f>
        <v>-184.67846532955159</v>
      </c>
      <c r="J30" s="3">
        <f>J22-J24-J29</f>
        <v>-178.44392971576829</v>
      </c>
      <c r="K30" s="3">
        <f>K22-K24-K29</f>
        <v>-178.3087909989882</v>
      </c>
      <c r="L30" s="3">
        <f>L22-L24-L29</f>
        <v>-172.06423845647558</v>
      </c>
      <c r="M30" s="3">
        <f>M22-M24-M29</f>
        <v>-16.217418305230808</v>
      </c>
      <c r="N30" s="3">
        <f>N22-N24-N29</f>
        <v>139.88590493155118</v>
      </c>
      <c r="O30" s="3">
        <f>O22-O24-O29</f>
        <v>146.90100265018219</v>
      </c>
      <c r="P30" s="3">
        <f>P22-P24-P29</f>
        <v>154.20426298166814</v>
      </c>
      <c r="Q30" s="3">
        <f>Q22-Q24-Q29</f>
        <v>161.8132780309449</v>
      </c>
      <c r="R30" s="3">
        <f>R22-R24-R29</f>
        <v>169.74693805326098</v>
      </c>
      <c r="S30" s="3">
        <f>S22-S24-S29</f>
        <v>178.02553312184159</v>
      </c>
      <c r="T30" s="3">
        <f>T22-T24-T29</f>
        <v>186.67086288527742</v>
      </c>
      <c r="U30" s="3">
        <f>U22-U24-U29</f>
        <v>195.7063550609443</v>
      </c>
      <c r="V30" s="3">
        <f>V22-V24-V29</f>
        <v>205.15719336244385</v>
      </c>
      <c r="W30" s="3">
        <f>W22-W24-W29</f>
        <v>215.05045561487822</v>
      </c>
      <c r="X30" s="3">
        <f>X22-X24-X29</f>
        <v>225.41526287205861</v>
      </c>
      <c r="Y30" s="3">
        <f>Y22-Y24-Y29</f>
        <v>236.28294041485549</v>
      </c>
      <c r="Z30" s="3">
        <f>Z22-Z24-Z29</f>
        <v>247.68719158021926</v>
      </c>
      <c r="AA30" s="3">
        <f>AA22-AA24-AA29</f>
        <v>259.66428544633806</v>
      </c>
    </row>
    <row r="31" spans="1:27" x14ac:dyDescent="0.35">
      <c r="A31" t="s">
        <v>18</v>
      </c>
      <c r="B31" s="3">
        <v>55.56</v>
      </c>
      <c r="D31" t="s">
        <v>35</v>
      </c>
      <c r="E31" s="3">
        <f>E30*$B$28</f>
        <v>-16.489343999999999</v>
      </c>
      <c r="F31" s="3">
        <f>F30*$B$28</f>
        <v>-10.665875202147605</v>
      </c>
      <c r="G31" s="3">
        <f>G30*$B$28</f>
        <v>-15.36942490046702</v>
      </c>
      <c r="H31" s="3">
        <f>H30*$B$28</f>
        <v>-9.5026064207550416</v>
      </c>
      <c r="I31" s="3">
        <f>I30*$B$28</f>
        <v>-42.476047025796859</v>
      </c>
      <c r="J31" s="3">
        <f>J30*$B$28</f>
        <v>-41.042103834626701</v>
      </c>
      <c r="K31" s="3">
        <f>K30*$B$28</f>
        <v>-41.011021929767281</v>
      </c>
      <c r="L31" s="3">
        <f>L30*$B$28</f>
        <v>-39.574774844989378</v>
      </c>
      <c r="M31" s="3">
        <f>M30*$B$28</f>
        <v>-3.7300062102030855</v>
      </c>
      <c r="N31" s="3">
        <f>N30*$B$28</f>
        <v>32.173758134256772</v>
      </c>
      <c r="O31" s="3">
        <f>O30*$B$28</f>
        <v>33.787230609541901</v>
      </c>
      <c r="P31" s="3">
        <f>P30*$B$28</f>
        <v>35.466980485783665</v>
      </c>
      <c r="Q31" s="3">
        <f>Q30*$B$28</f>
        <v>37.217053947117321</v>
      </c>
      <c r="R31" s="3">
        <f>R30*$B$28</f>
        <v>39.041795752250025</v>
      </c>
      <c r="S31" s="3">
        <f>S30*$B$28</f>
        <v>40.945872618023564</v>
      </c>
      <c r="T31" s="3">
        <f>T30*$B$28</f>
        <v>42.9342984636138</v>
      </c>
      <c r="U31" s="3">
        <f>U30*$B$28</f>
        <v>45.012461664017188</v>
      </c>
      <c r="V31" s="3">
        <f>V30*$B$28</f>
        <v>47.18615447336208</v>
      </c>
      <c r="W31" s="3">
        <f>W30*$B$28</f>
        <v>49.461604791421983</v>
      </c>
      <c r="X31" s="3">
        <f>X30*$B$28</f>
        <v>51.845510460573472</v>
      </c>
      <c r="Y31" s="3">
        <f>Y30*$B$28</f>
        <v>54.34507629541676</v>
      </c>
      <c r="Z31" s="3">
        <f>Z30*$B$28</f>
        <v>56.968054063450424</v>
      </c>
      <c r="AA31" s="3">
        <f>AA30*$B$28</f>
        <v>59.722785652657748</v>
      </c>
    </row>
    <row r="32" spans="1:27" x14ac:dyDescent="0.35"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4:27" x14ac:dyDescent="0.35">
      <c r="D33" t="s">
        <v>34</v>
      </c>
      <c r="E33" s="3">
        <f>E22-E21+B26-E25-E31</f>
        <v>325.31700788483391</v>
      </c>
      <c r="F33" s="3">
        <f>F22-F21-F25-F31</f>
        <v>-576.66646091301845</v>
      </c>
      <c r="G33" s="3">
        <f>G22-G21-G25-G31</f>
        <v>-571.96291121469903</v>
      </c>
      <c r="H33" s="3">
        <f>H22-H21-H25-H31</f>
        <v>93.093476771807516</v>
      </c>
      <c r="I33" s="3">
        <f>I22-I21-I25-I31</f>
        <v>130.1078561728404</v>
      </c>
      <c r="J33" s="3">
        <f>J22-J21-J25-J31</f>
        <v>132.79567055358115</v>
      </c>
      <c r="K33" s="3">
        <f>K22-K21-K25-K31</f>
        <v>136.96878137207085</v>
      </c>
      <c r="L33" s="3">
        <f>L22-L21-L25-L31</f>
        <v>139.82081086510891</v>
      </c>
      <c r="M33" s="3">
        <f>M22-M21-M25-M31</f>
        <v>108.35008433969502</v>
      </c>
      <c r="N33" s="3">
        <f>N22-N21-N25-N31</f>
        <v>76.907842946794958</v>
      </c>
      <c r="O33" s="3">
        <f>O22-O21-O25-O31</f>
        <v>79.845123882100921</v>
      </c>
      <c r="P33" s="3">
        <f>P22-P21-P25-P31</f>
        <v>82.80714248466191</v>
      </c>
      <c r="Q33" s="3">
        <f>Q22-Q21-Q25-Q31</f>
        <v>85.791672871707235</v>
      </c>
      <c r="R33" s="3">
        <f>R22-R21-R25-R31</f>
        <v>88.796226991920989</v>
      </c>
      <c r="S33" s="3">
        <f>S22-S21-S25-S31</f>
        <v>91.818031970000845</v>
      </c>
      <c r="T33" s="3">
        <f>T22-T21-T25-T31</f>
        <v>94.854005605141055</v>
      </c>
      <c r="U33" s="3">
        <f>U22-U21-U25-U31</f>
        <v>97.900729875082732</v>
      </c>
      <c r="V33" s="3">
        <f>V22-V21-V25-V31</f>
        <v>100.95442228548987</v>
      </c>
      <c r="W33" s="3">
        <f>W22-W21-W25-W31</f>
        <v>104.01090489157696</v>
      </c>
      <c r="X33" s="3">
        <f>X22-X21-X25-X31</f>
        <v>107.06557080505553</v>
      </c>
      <c r="Y33" s="3">
        <f>Y22-Y21-Y25-Y31</f>
        <v>110.11334798449474</v>
      </c>
      <c r="Z33" s="3">
        <f>Z22-Z21-Z25-Z31</f>
        <v>113.14866009102933</v>
      </c>
      <c r="AA33" s="3">
        <f>AA22-AA21-AA25-AA31</f>
        <v>128.82207693492001</v>
      </c>
    </row>
    <row r="34" spans="4:27" x14ac:dyDescent="0.35">
      <c r="D34" t="s">
        <v>0</v>
      </c>
      <c r="E34" s="8">
        <f>IRR(E33:AA33)</f>
        <v>0.12001889874062566</v>
      </c>
    </row>
    <row r="35" spans="4:27" x14ac:dyDescent="0.35">
      <c r="E35" s="3"/>
    </row>
    <row r="36" spans="4:27" x14ac:dyDescent="0.35">
      <c r="D36" t="s">
        <v>56</v>
      </c>
      <c r="E36">
        <f>E21/(1+$E$34)^(E1-1)</f>
        <v>497.86666666666662</v>
      </c>
      <c r="F36">
        <f>F21/(1+$E$34)^(F1-1)</f>
        <v>444.51630881093081</v>
      </c>
      <c r="G36">
        <f>G21/(1+$E$34)^(G1-1)</f>
        <v>396.8828644862644</v>
      </c>
      <c r="H36">
        <f>H21/(1+$E$34)^(H1-1)</f>
        <v>0</v>
      </c>
      <c r="I36">
        <f>I21/(1+$E$34)^(I1-1)</f>
        <v>0</v>
      </c>
      <c r="J36">
        <f>J21/(1+$E$34)^(J1-1)</f>
        <v>0</v>
      </c>
      <c r="K36">
        <f>K21/(1+$E$34)^(K1-1)</f>
        <v>0</v>
      </c>
      <c r="L36">
        <f>L21/(1+$E$34)^(L1-1)</f>
        <v>0</v>
      </c>
      <c r="M36">
        <f>M21/(1+$E$34)^(M1-1)</f>
        <v>0</v>
      </c>
      <c r="N36">
        <f>N21/(1+$E$34)^(N1-1)</f>
        <v>0</v>
      </c>
      <c r="O36">
        <f>O21/(1+$E$34)^(O1-1)</f>
        <v>0</v>
      </c>
      <c r="P36">
        <f>P21/(1+$E$34)^(P1-1)</f>
        <v>0</v>
      </c>
      <c r="Q36">
        <f>Q21/(1+$E$34)^(Q1-1)</f>
        <v>0</v>
      </c>
      <c r="R36">
        <f>R21/(1+$E$34)^(R1-1)</f>
        <v>0</v>
      </c>
      <c r="S36">
        <f>S21/(1+$E$34)^(S1-1)</f>
        <v>0</v>
      </c>
      <c r="T36">
        <f>T21/(1+$E$34)^(T1-1)</f>
        <v>0</v>
      </c>
      <c r="U36">
        <f>U21/(1+$E$34)^(U1-1)</f>
        <v>0</v>
      </c>
      <c r="V36">
        <f>V21/(1+$E$34)^(V1-1)</f>
        <v>0</v>
      </c>
      <c r="W36">
        <f>W21/(1+$E$34)^(W1-1)</f>
        <v>0</v>
      </c>
      <c r="X36">
        <f>X21/(1+$E$34)^(X1-1)</f>
        <v>0</v>
      </c>
      <c r="Y36">
        <f>Y21/(1+$E$34)^(Y1-1)</f>
        <v>0</v>
      </c>
      <c r="Z36">
        <f>Z21/(1+$E$34)^(Z1-1)</f>
        <v>0</v>
      </c>
      <c r="AA36">
        <f>AA21/(1+$E$34)^(AA1-1)</f>
        <v>0</v>
      </c>
    </row>
    <row r="37" spans="4:27" x14ac:dyDescent="0.35">
      <c r="E37">
        <f>SUM(E36:AA36)/SUM(E$3:AA$3)*10^6</f>
        <v>11.944080336435698</v>
      </c>
    </row>
    <row r="39" spans="4:27" x14ac:dyDescent="0.35">
      <c r="D39" t="s">
        <v>57</v>
      </c>
      <c r="E39">
        <f>E19/(1+$E$34)^(E1-1)</f>
        <v>0</v>
      </c>
      <c r="F39">
        <f t="shared" ref="F39:AA39" si="24">F19/(1+$E$34)^(F1-1)</f>
        <v>0</v>
      </c>
      <c r="G39">
        <f t="shared" si="24"/>
        <v>0</v>
      </c>
      <c r="H39">
        <f t="shared" si="24"/>
        <v>112.1002986595868</v>
      </c>
      <c r="I39">
        <f t="shared" si="24"/>
        <v>101.72116717815318</v>
      </c>
      <c r="J39">
        <f t="shared" si="24"/>
        <v>92.308386083086006</v>
      </c>
      <c r="K39">
        <f t="shared" si="24"/>
        <v>83.771428353478214</v>
      </c>
      <c r="L39">
        <f t="shared" si="24"/>
        <v>76.028304502284584</v>
      </c>
      <c r="M39">
        <f t="shared" si="24"/>
        <v>69.004751582806435</v>
      </c>
      <c r="N39">
        <f t="shared" si="24"/>
        <v>62.633499823775026</v>
      </c>
      <c r="O39">
        <f t="shared" si="24"/>
        <v>56.853609402851561</v>
      </c>
      <c r="P39">
        <f t="shared" si="24"/>
        <v>51.609870597022741</v>
      </c>
      <c r="Q39">
        <f t="shared" si="24"/>
        <v>46.852261205555664</v>
      </c>
      <c r="R39">
        <f t="shared" si="24"/>
        <v>42.535455733953683</v>
      </c>
      <c r="S39">
        <f t="shared" si="24"/>
        <v>38.618381362091498</v>
      </c>
      <c r="T39">
        <f t="shared" si="24"/>
        <v>35.063816202130702</v>
      </c>
      <c r="U39">
        <f t="shared" si="24"/>
        <v>31.838025787090238</v>
      </c>
      <c r="V39">
        <f t="shared" si="24"/>
        <v>28.910434123713131</v>
      </c>
      <c r="W39">
        <f t="shared" si="24"/>
        <v>26.253325997718949</v>
      </c>
      <c r="X39">
        <f t="shared" si="24"/>
        <v>23.841577539429331</v>
      </c>
      <c r="Y39">
        <f t="shared" si="24"/>
        <v>21.65241234649741</v>
      </c>
      <c r="Z39">
        <f t="shared" si="24"/>
        <v>19.665180721121484</v>
      </c>
      <c r="AA39">
        <f t="shared" si="24"/>
        <v>17.861159814433638</v>
      </c>
    </row>
    <row r="40" spans="4:27" x14ac:dyDescent="0.35">
      <c r="E40">
        <f>SUM(E39:AA39)/SUM(E$3:AA$3)*10^6</f>
        <v>9.267295831699311</v>
      </c>
    </row>
    <row r="42" spans="4:27" x14ac:dyDescent="0.35">
      <c r="D42" t="s">
        <v>58</v>
      </c>
      <c r="E42">
        <f>E20/(1+$E$34)^(E1-1)</f>
        <v>0</v>
      </c>
      <c r="F42">
        <f t="shared" ref="F42:AA42" si="25">F20/(1+$E$34)^(F1-1)</f>
        <v>0</v>
      </c>
      <c r="G42">
        <f t="shared" si="25"/>
        <v>0</v>
      </c>
      <c r="H42">
        <f t="shared" si="25"/>
        <v>0</v>
      </c>
      <c r="I42">
        <f t="shared" si="25"/>
        <v>0</v>
      </c>
      <c r="J42">
        <f t="shared" si="25"/>
        <v>0</v>
      </c>
      <c r="K42">
        <f t="shared" si="25"/>
        <v>0</v>
      </c>
      <c r="L42">
        <f t="shared" si="25"/>
        <v>0</v>
      </c>
      <c r="M42">
        <f t="shared" si="25"/>
        <v>0</v>
      </c>
      <c r="N42">
        <f t="shared" si="25"/>
        <v>0</v>
      </c>
      <c r="O42">
        <f t="shared" si="25"/>
        <v>0</v>
      </c>
      <c r="P42">
        <f t="shared" si="25"/>
        <v>0</v>
      </c>
      <c r="Q42">
        <f t="shared" si="25"/>
        <v>0</v>
      </c>
      <c r="R42">
        <f t="shared" si="25"/>
        <v>0</v>
      </c>
      <c r="S42">
        <f t="shared" si="25"/>
        <v>0</v>
      </c>
      <c r="T42">
        <f t="shared" si="25"/>
        <v>0</v>
      </c>
      <c r="U42">
        <f t="shared" si="25"/>
        <v>0</v>
      </c>
      <c r="V42">
        <f t="shared" si="25"/>
        <v>0</v>
      </c>
      <c r="W42">
        <f t="shared" si="25"/>
        <v>0</v>
      </c>
      <c r="X42">
        <f t="shared" si="25"/>
        <v>0</v>
      </c>
      <c r="Y42">
        <f t="shared" si="25"/>
        <v>0</v>
      </c>
      <c r="Z42">
        <f t="shared" si="25"/>
        <v>0</v>
      </c>
      <c r="AA42">
        <f t="shared" si="25"/>
        <v>0</v>
      </c>
    </row>
    <row r="43" spans="4:27" x14ac:dyDescent="0.35">
      <c r="E43">
        <f>SUM(E42:AA42)/SUM(E$3:AA$3)*10^6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workbookViewId="0">
      <selection activeCell="A20" sqref="A20"/>
    </sheetView>
  </sheetViews>
  <sheetFormatPr defaultRowHeight="14.5" x14ac:dyDescent="0.35"/>
  <cols>
    <col min="1" max="1" width="24.36328125" customWidth="1"/>
    <col min="2" max="2" width="12" customWidth="1"/>
    <col min="3" max="3" width="6.1796875" customWidth="1"/>
    <col min="4" max="4" width="29.7265625" customWidth="1"/>
  </cols>
  <sheetData>
    <row r="1" spans="1:24" x14ac:dyDescent="0.35">
      <c r="A1" t="s">
        <v>1</v>
      </c>
      <c r="B1">
        <v>175</v>
      </c>
      <c r="D1" t="s">
        <v>27</v>
      </c>
      <c r="E1">
        <v>1</v>
      </c>
      <c r="F1">
        <v>2</v>
      </c>
      <c r="G1">
        <v>3</v>
      </c>
      <c r="H1">
        <v>4</v>
      </c>
      <c r="I1">
        <v>5</v>
      </c>
      <c r="J1">
        <v>6</v>
      </c>
      <c r="K1">
        <v>7</v>
      </c>
      <c r="L1">
        <v>8</v>
      </c>
      <c r="M1">
        <v>9</v>
      </c>
      <c r="N1">
        <v>10</v>
      </c>
      <c r="O1">
        <v>11</v>
      </c>
      <c r="P1">
        <v>12</v>
      </c>
      <c r="Q1">
        <v>13</v>
      </c>
      <c r="R1">
        <v>14</v>
      </c>
      <c r="S1">
        <v>15</v>
      </c>
      <c r="T1">
        <v>16</v>
      </c>
      <c r="U1">
        <v>17</v>
      </c>
      <c r="V1">
        <v>18</v>
      </c>
      <c r="W1">
        <v>19</v>
      </c>
      <c r="X1">
        <v>20</v>
      </c>
    </row>
    <row r="2" spans="1:24" x14ac:dyDescent="0.35">
      <c r="A2" t="s">
        <v>36</v>
      </c>
      <c r="B2">
        <v>0.38</v>
      </c>
      <c r="D2" t="s">
        <v>1</v>
      </c>
      <c r="E2">
        <f>$B$1</f>
        <v>175</v>
      </c>
      <c r="F2">
        <f t="shared" ref="F2:X2" si="0">$B$1</f>
        <v>175</v>
      </c>
      <c r="G2">
        <f t="shared" si="0"/>
        <v>175</v>
      </c>
      <c r="H2">
        <f t="shared" si="0"/>
        <v>175</v>
      </c>
      <c r="I2">
        <f t="shared" si="0"/>
        <v>175</v>
      </c>
      <c r="J2">
        <f t="shared" si="0"/>
        <v>175</v>
      </c>
      <c r="K2">
        <f t="shared" si="0"/>
        <v>175</v>
      </c>
      <c r="L2">
        <f t="shared" si="0"/>
        <v>175</v>
      </c>
      <c r="M2">
        <f t="shared" si="0"/>
        <v>175</v>
      </c>
      <c r="N2">
        <f t="shared" si="0"/>
        <v>175</v>
      </c>
      <c r="O2">
        <f t="shared" si="0"/>
        <v>175</v>
      </c>
      <c r="P2">
        <f t="shared" si="0"/>
        <v>175</v>
      </c>
      <c r="Q2">
        <f t="shared" si="0"/>
        <v>175</v>
      </c>
      <c r="R2">
        <f t="shared" si="0"/>
        <v>175</v>
      </c>
      <c r="S2">
        <f t="shared" si="0"/>
        <v>175</v>
      </c>
      <c r="T2">
        <f t="shared" si="0"/>
        <v>175</v>
      </c>
      <c r="U2">
        <f t="shared" si="0"/>
        <v>175</v>
      </c>
      <c r="V2">
        <f t="shared" si="0"/>
        <v>175</v>
      </c>
      <c r="W2">
        <f t="shared" si="0"/>
        <v>175</v>
      </c>
      <c r="X2">
        <f t="shared" si="0"/>
        <v>175</v>
      </c>
    </row>
    <row r="3" spans="1:24" x14ac:dyDescent="0.35">
      <c r="A3" t="s">
        <v>37</v>
      </c>
      <c r="B3">
        <v>6</v>
      </c>
      <c r="D3" t="s">
        <v>2</v>
      </c>
      <c r="E3">
        <f>E2*$B$2*8760</f>
        <v>582540</v>
      </c>
      <c r="F3">
        <f t="shared" ref="F3:X3" si="1">F2*$B$2*8760</f>
        <v>582540</v>
      </c>
      <c r="G3">
        <f t="shared" si="1"/>
        <v>582540</v>
      </c>
      <c r="H3">
        <f t="shared" si="1"/>
        <v>582540</v>
      </c>
      <c r="I3">
        <f t="shared" si="1"/>
        <v>582540</v>
      </c>
      <c r="J3">
        <f t="shared" si="1"/>
        <v>582540</v>
      </c>
      <c r="K3">
        <f t="shared" si="1"/>
        <v>582540</v>
      </c>
      <c r="L3">
        <f t="shared" si="1"/>
        <v>582540</v>
      </c>
      <c r="M3">
        <f t="shared" si="1"/>
        <v>582540</v>
      </c>
      <c r="N3">
        <f t="shared" si="1"/>
        <v>582540</v>
      </c>
      <c r="O3">
        <f t="shared" si="1"/>
        <v>582540</v>
      </c>
      <c r="P3">
        <f t="shared" si="1"/>
        <v>582540</v>
      </c>
      <c r="Q3">
        <f t="shared" si="1"/>
        <v>582540</v>
      </c>
      <c r="R3">
        <f t="shared" si="1"/>
        <v>582540</v>
      </c>
      <c r="S3">
        <f t="shared" si="1"/>
        <v>582540</v>
      </c>
      <c r="T3">
        <f t="shared" si="1"/>
        <v>582540</v>
      </c>
      <c r="U3">
        <f t="shared" si="1"/>
        <v>582540</v>
      </c>
      <c r="V3">
        <f t="shared" si="1"/>
        <v>582540</v>
      </c>
      <c r="W3">
        <f t="shared" si="1"/>
        <v>582540</v>
      </c>
      <c r="X3">
        <f t="shared" si="1"/>
        <v>582540</v>
      </c>
    </row>
    <row r="4" spans="1:24" x14ac:dyDescent="0.35">
      <c r="A4" t="s">
        <v>38</v>
      </c>
      <c r="B4">
        <v>1</v>
      </c>
      <c r="D4" t="s">
        <v>19</v>
      </c>
      <c r="E4" s="3">
        <f t="shared" ref="E4:X4" si="2">$B$21</f>
        <v>34.808303322935991</v>
      </c>
      <c r="F4" s="3">
        <f t="shared" si="2"/>
        <v>34.808303322935991</v>
      </c>
      <c r="G4" s="3">
        <f t="shared" si="2"/>
        <v>34.808303322935991</v>
      </c>
      <c r="H4" s="3">
        <f t="shared" si="2"/>
        <v>34.808303322935991</v>
      </c>
      <c r="I4" s="3">
        <f t="shared" si="2"/>
        <v>34.808303322935991</v>
      </c>
      <c r="J4" s="3">
        <f t="shared" si="2"/>
        <v>34.808303322935991</v>
      </c>
      <c r="K4" s="3">
        <f t="shared" si="2"/>
        <v>34.808303322935991</v>
      </c>
      <c r="L4" s="3">
        <f t="shared" si="2"/>
        <v>34.808303322935991</v>
      </c>
      <c r="M4" s="3">
        <f t="shared" si="2"/>
        <v>34.808303322935991</v>
      </c>
      <c r="N4" s="3">
        <f t="shared" si="2"/>
        <v>34.808303322935991</v>
      </c>
      <c r="O4" s="3">
        <f t="shared" si="2"/>
        <v>34.808303322935991</v>
      </c>
      <c r="P4" s="3">
        <f t="shared" si="2"/>
        <v>34.808303322935991</v>
      </c>
      <c r="Q4" s="3">
        <f t="shared" si="2"/>
        <v>34.808303322935991</v>
      </c>
      <c r="R4" s="3">
        <f t="shared" si="2"/>
        <v>34.808303322935991</v>
      </c>
      <c r="S4" s="3">
        <f t="shared" si="2"/>
        <v>34.808303322935991</v>
      </c>
      <c r="T4" s="3">
        <f t="shared" si="2"/>
        <v>34.808303322935991</v>
      </c>
      <c r="U4" s="3">
        <f t="shared" si="2"/>
        <v>34.808303322935991</v>
      </c>
      <c r="V4" s="3">
        <f t="shared" si="2"/>
        <v>34.808303322935991</v>
      </c>
      <c r="W4" s="3">
        <f t="shared" si="2"/>
        <v>34.808303322935991</v>
      </c>
      <c r="X4" s="3">
        <f t="shared" si="2"/>
        <v>34.808303322935991</v>
      </c>
    </row>
    <row r="5" spans="1:24" x14ac:dyDescent="0.35">
      <c r="A5" t="s">
        <v>28</v>
      </c>
      <c r="B5">
        <v>1360</v>
      </c>
      <c r="D5" t="s">
        <v>25</v>
      </c>
      <c r="E5" s="3">
        <f t="shared" ref="E5:X5" si="3">E3*E4/10^6</f>
        <v>20.277229017743132</v>
      </c>
      <c r="F5" s="3">
        <f t="shared" si="3"/>
        <v>20.277229017743132</v>
      </c>
      <c r="G5" s="3">
        <f t="shared" si="3"/>
        <v>20.277229017743132</v>
      </c>
      <c r="H5" s="3">
        <f t="shared" si="3"/>
        <v>20.277229017743132</v>
      </c>
      <c r="I5" s="3">
        <f t="shared" si="3"/>
        <v>20.277229017743132</v>
      </c>
      <c r="J5" s="3">
        <f t="shared" si="3"/>
        <v>20.277229017743132</v>
      </c>
      <c r="K5" s="3">
        <f t="shared" si="3"/>
        <v>20.277229017743132</v>
      </c>
      <c r="L5" s="3">
        <f t="shared" si="3"/>
        <v>20.277229017743132</v>
      </c>
      <c r="M5" s="3">
        <f t="shared" si="3"/>
        <v>20.277229017743132</v>
      </c>
      <c r="N5" s="3">
        <f t="shared" si="3"/>
        <v>20.277229017743132</v>
      </c>
      <c r="O5" s="3">
        <f t="shared" si="3"/>
        <v>20.277229017743132</v>
      </c>
      <c r="P5" s="3">
        <f t="shared" si="3"/>
        <v>20.277229017743132</v>
      </c>
      <c r="Q5" s="3">
        <f t="shared" si="3"/>
        <v>20.277229017743132</v>
      </c>
      <c r="R5" s="3">
        <f t="shared" si="3"/>
        <v>20.277229017743132</v>
      </c>
      <c r="S5" s="3">
        <f t="shared" si="3"/>
        <v>20.277229017743132</v>
      </c>
      <c r="T5" s="3">
        <f t="shared" si="3"/>
        <v>20.277229017743132</v>
      </c>
      <c r="U5" s="3">
        <f t="shared" si="3"/>
        <v>20.277229017743132</v>
      </c>
      <c r="V5" s="3">
        <f t="shared" si="3"/>
        <v>20.277229017743132</v>
      </c>
      <c r="W5" s="3">
        <f t="shared" si="3"/>
        <v>20.277229017743132</v>
      </c>
      <c r="X5" s="3">
        <f t="shared" si="3"/>
        <v>20.277229017743132</v>
      </c>
    </row>
    <row r="6" spans="1:24" x14ac:dyDescent="0.35">
      <c r="A6" t="s">
        <v>29</v>
      </c>
      <c r="B6">
        <f>B5*B1/1000</f>
        <v>238</v>
      </c>
      <c r="C6" s="1"/>
      <c r="D6" t="s">
        <v>20</v>
      </c>
      <c r="E6" s="4">
        <f t="shared" ref="E6:X6" si="4">$B$10*E3*(1-$B$13)^E1</f>
        <v>211229.00399999999</v>
      </c>
      <c r="F6" s="4">
        <f t="shared" si="4"/>
        <v>207004.42391999997</v>
      </c>
      <c r="G6" s="4">
        <f t="shared" si="4"/>
        <v>202864.33544159998</v>
      </c>
      <c r="H6" s="4">
        <f t="shared" si="4"/>
        <v>198807.04873276796</v>
      </c>
      <c r="I6" s="4">
        <f t="shared" si="4"/>
        <v>194830.90775811259</v>
      </c>
      <c r="J6" s="4">
        <f t="shared" si="4"/>
        <v>190934.28960295033</v>
      </c>
      <c r="K6" s="4">
        <f t="shared" si="4"/>
        <v>187115.60381089133</v>
      </c>
      <c r="L6" s="4">
        <f t="shared" si="4"/>
        <v>183373.29173467349</v>
      </c>
      <c r="M6" s="4">
        <f t="shared" si="4"/>
        <v>179705.82589998003</v>
      </c>
      <c r="N6" s="4">
        <f t="shared" si="4"/>
        <v>176111.70938198041</v>
      </c>
      <c r="O6" s="4">
        <f t="shared" si="4"/>
        <v>172589.47519434078</v>
      </c>
      <c r="P6" s="4">
        <f t="shared" si="4"/>
        <v>169137.68569045397</v>
      </c>
      <c r="Q6" s="4">
        <f t="shared" si="4"/>
        <v>165754.93197664488</v>
      </c>
      <c r="R6" s="4">
        <f t="shared" si="4"/>
        <v>162439.83333711198</v>
      </c>
      <c r="S6" s="4">
        <f t="shared" si="4"/>
        <v>159191.03667036974</v>
      </c>
      <c r="T6" s="4">
        <f t="shared" si="4"/>
        <v>156007.21593696234</v>
      </c>
      <c r="U6" s="4">
        <f t="shared" si="4"/>
        <v>152887.0716182231</v>
      </c>
      <c r="V6" s="4">
        <f t="shared" si="4"/>
        <v>149829.33018585862</v>
      </c>
      <c r="W6" s="4">
        <f t="shared" si="4"/>
        <v>146832.74358214144</v>
      </c>
      <c r="X6" s="4">
        <f t="shared" si="4"/>
        <v>143896.08871049862</v>
      </c>
    </row>
    <row r="7" spans="1:24" x14ac:dyDescent="0.35">
      <c r="A7" t="s">
        <v>30</v>
      </c>
      <c r="B7" s="1">
        <v>0.6</v>
      </c>
      <c r="C7" s="1"/>
      <c r="D7" t="s">
        <v>21</v>
      </c>
      <c r="E7" s="3">
        <f t="shared" ref="E7:X7" si="5">$B$11*(1+$B$12)^E1</f>
        <v>51</v>
      </c>
      <c r="F7" s="3">
        <f t="shared" si="5"/>
        <v>52.019999999999996</v>
      </c>
      <c r="G7" s="3">
        <f t="shared" si="5"/>
        <v>53.060399999999994</v>
      </c>
      <c r="H7" s="3">
        <f t="shared" si="5"/>
        <v>54.121608000000002</v>
      </c>
      <c r="I7" s="3">
        <f t="shared" si="5"/>
        <v>55.204040159999998</v>
      </c>
      <c r="J7" s="3">
        <f t="shared" si="5"/>
        <v>56.308120963200004</v>
      </c>
      <c r="K7" s="3">
        <f t="shared" si="5"/>
        <v>57.434283382463988</v>
      </c>
      <c r="L7" s="3">
        <f t="shared" si="5"/>
        <v>58.582969050113277</v>
      </c>
      <c r="M7" s="3">
        <f t="shared" si="5"/>
        <v>59.754628431115542</v>
      </c>
      <c r="N7" s="3">
        <f t="shared" si="5"/>
        <v>60.949720999737856</v>
      </c>
      <c r="O7" s="3">
        <f t="shared" si="5"/>
        <v>62.1687154197326</v>
      </c>
      <c r="P7" s="3">
        <f t="shared" si="5"/>
        <v>63.412089728127263</v>
      </c>
      <c r="Q7" s="3">
        <f t="shared" si="5"/>
        <v>64.680331522689798</v>
      </c>
      <c r="R7" s="3">
        <f t="shared" si="5"/>
        <v>65.973938153143607</v>
      </c>
      <c r="S7" s="3">
        <f t="shared" si="5"/>
        <v>67.293416916206468</v>
      </c>
      <c r="T7" s="3">
        <f t="shared" si="5"/>
        <v>68.639285254530606</v>
      </c>
      <c r="U7" s="3">
        <f t="shared" si="5"/>
        <v>70.012070959621227</v>
      </c>
      <c r="V7" s="3">
        <f t="shared" si="5"/>
        <v>71.412312378813638</v>
      </c>
      <c r="W7" s="3">
        <f t="shared" si="5"/>
        <v>72.840558626389907</v>
      </c>
      <c r="X7" s="3">
        <f t="shared" si="5"/>
        <v>74.297369798917714</v>
      </c>
    </row>
    <row r="8" spans="1:24" x14ac:dyDescent="0.35">
      <c r="A8" t="s">
        <v>31</v>
      </c>
      <c r="B8" s="1">
        <v>0.08</v>
      </c>
      <c r="D8" t="s">
        <v>24</v>
      </c>
      <c r="E8" s="3">
        <f>E6*E7/10^6</f>
        <v>10.772679203999999</v>
      </c>
      <c r="F8" s="3">
        <f t="shared" ref="F8:X8" si="6">F6*F7/10^6</f>
        <v>10.768370132318397</v>
      </c>
      <c r="G8" s="3">
        <f t="shared" si="6"/>
        <v>10.764062784265469</v>
      </c>
      <c r="H8" s="3">
        <f t="shared" si="6"/>
        <v>10.759757159151764</v>
      </c>
      <c r="I8" s="3">
        <f t="shared" si="6"/>
        <v>10.755453256288101</v>
      </c>
      <c r="J8" s="3">
        <f t="shared" si="6"/>
        <v>10.751151074985588</v>
      </c>
      <c r="K8" s="3">
        <f t="shared" si="6"/>
        <v>10.746850614555592</v>
      </c>
      <c r="L8" s="3">
        <f t="shared" si="6"/>
        <v>10.74255187430977</v>
      </c>
      <c r="M8" s="3">
        <f t="shared" si="6"/>
        <v>10.738254853560047</v>
      </c>
      <c r="N8" s="3">
        <f t="shared" si="6"/>
        <v>10.733959551618623</v>
      </c>
      <c r="O8" s="3">
        <f t="shared" si="6"/>
        <v>10.72966596779797</v>
      </c>
      <c r="P8" s="3">
        <f t="shared" si="6"/>
        <v>10.725374101410855</v>
      </c>
      <c r="Q8" s="3">
        <f t="shared" si="6"/>
        <v>10.721083951770288</v>
      </c>
      <c r="R8" s="3">
        <f t="shared" si="6"/>
        <v>10.716795518189581</v>
      </c>
      <c r="S8" s="3">
        <f t="shared" si="6"/>
        <v>10.712508799982304</v>
      </c>
      <c r="T8" s="3">
        <f t="shared" si="6"/>
        <v>10.70822379646231</v>
      </c>
      <c r="U8" s="3">
        <f t="shared" si="6"/>
        <v>10.703940506943729</v>
      </c>
      <c r="V8" s="3">
        <f t="shared" si="6"/>
        <v>10.699658930740947</v>
      </c>
      <c r="W8" s="3">
        <f t="shared" si="6"/>
        <v>10.69537906716865</v>
      </c>
      <c r="X8" s="3">
        <f t="shared" si="6"/>
        <v>10.691100915541785</v>
      </c>
    </row>
    <row r="9" spans="1:24" x14ac:dyDescent="0.35">
      <c r="D9" t="s">
        <v>26</v>
      </c>
      <c r="E9" s="3">
        <f>E5+E8</f>
        <v>31.049908221743131</v>
      </c>
      <c r="F9" s="3">
        <f t="shared" ref="F9:X9" si="7">F5+F8</f>
        <v>31.045599150061527</v>
      </c>
      <c r="G9" s="3">
        <f t="shared" si="7"/>
        <v>31.041291802008601</v>
      </c>
      <c r="H9" s="3">
        <f t="shared" si="7"/>
        <v>31.036986176894896</v>
      </c>
      <c r="I9" s="3">
        <f t="shared" si="7"/>
        <v>31.032682274031231</v>
      </c>
      <c r="J9" s="3">
        <f t="shared" si="7"/>
        <v>31.028380092728717</v>
      </c>
      <c r="K9" s="3">
        <f t="shared" si="7"/>
        <v>31.024079632298722</v>
      </c>
      <c r="L9" s="3">
        <f t="shared" si="7"/>
        <v>31.0197808920529</v>
      </c>
      <c r="M9" s="3">
        <f t="shared" si="7"/>
        <v>31.015483871303179</v>
      </c>
      <c r="N9" s="3">
        <f t="shared" si="7"/>
        <v>31.011188569361757</v>
      </c>
      <c r="O9" s="3">
        <f t="shared" si="7"/>
        <v>31.006894985541102</v>
      </c>
      <c r="P9" s="3">
        <f t="shared" si="7"/>
        <v>31.002603119153989</v>
      </c>
      <c r="Q9" s="3">
        <f t="shared" si="7"/>
        <v>30.998312969513421</v>
      </c>
      <c r="R9" s="3">
        <f t="shared" si="7"/>
        <v>30.994024535932713</v>
      </c>
      <c r="S9" s="3">
        <f t="shared" si="7"/>
        <v>30.989737817725434</v>
      </c>
      <c r="T9" s="3">
        <f t="shared" si="7"/>
        <v>30.985452814205441</v>
      </c>
      <c r="U9" s="3">
        <f t="shared" si="7"/>
        <v>30.981169524686862</v>
      </c>
      <c r="V9" s="3">
        <f t="shared" si="7"/>
        <v>30.976887948484077</v>
      </c>
      <c r="W9" s="3">
        <f t="shared" si="7"/>
        <v>30.972608084911784</v>
      </c>
      <c r="X9" s="3">
        <f t="shared" si="7"/>
        <v>30.968329933284917</v>
      </c>
    </row>
    <row r="10" spans="1:24" x14ac:dyDescent="0.35">
      <c r="A10" t="s">
        <v>16</v>
      </c>
      <c r="B10">
        <v>0.37</v>
      </c>
      <c r="D10" t="s">
        <v>3</v>
      </c>
      <c r="E10">
        <f>$B$3</f>
        <v>6</v>
      </c>
      <c r="F10">
        <f t="shared" ref="F10:X10" si="8">$B$3</f>
        <v>6</v>
      </c>
      <c r="G10">
        <f t="shared" si="8"/>
        <v>6</v>
      </c>
      <c r="H10">
        <f t="shared" si="8"/>
        <v>6</v>
      </c>
      <c r="I10">
        <f t="shared" si="8"/>
        <v>6</v>
      </c>
      <c r="J10">
        <f t="shared" si="8"/>
        <v>6</v>
      </c>
      <c r="K10">
        <f t="shared" si="8"/>
        <v>6</v>
      </c>
      <c r="L10">
        <f t="shared" si="8"/>
        <v>6</v>
      </c>
      <c r="M10">
        <f t="shared" si="8"/>
        <v>6</v>
      </c>
      <c r="N10">
        <f t="shared" si="8"/>
        <v>6</v>
      </c>
      <c r="O10">
        <f t="shared" si="8"/>
        <v>6</v>
      </c>
      <c r="P10">
        <f t="shared" si="8"/>
        <v>6</v>
      </c>
      <c r="Q10">
        <f t="shared" si="8"/>
        <v>6</v>
      </c>
      <c r="R10">
        <f t="shared" si="8"/>
        <v>6</v>
      </c>
      <c r="S10">
        <f t="shared" si="8"/>
        <v>6</v>
      </c>
      <c r="T10">
        <f t="shared" si="8"/>
        <v>6</v>
      </c>
      <c r="U10">
        <f t="shared" si="8"/>
        <v>6</v>
      </c>
      <c r="V10">
        <f t="shared" si="8"/>
        <v>6</v>
      </c>
      <c r="W10">
        <f t="shared" si="8"/>
        <v>6</v>
      </c>
      <c r="X10">
        <f t="shared" si="8"/>
        <v>6</v>
      </c>
    </row>
    <row r="11" spans="1:24" x14ac:dyDescent="0.35">
      <c r="A11" t="s">
        <v>17</v>
      </c>
      <c r="B11">
        <v>50</v>
      </c>
      <c r="D11" t="s">
        <v>39</v>
      </c>
    </row>
    <row r="12" spans="1:24" x14ac:dyDescent="0.35">
      <c r="A12" t="s">
        <v>22</v>
      </c>
      <c r="B12">
        <v>0.02</v>
      </c>
      <c r="D12" t="s">
        <v>40</v>
      </c>
    </row>
    <row r="13" spans="1:24" x14ac:dyDescent="0.35">
      <c r="A13" t="s">
        <v>23</v>
      </c>
      <c r="B13">
        <v>0.02</v>
      </c>
      <c r="D13" t="s">
        <v>4</v>
      </c>
      <c r="E13" s="3">
        <f>$B$4*E3/10^6</f>
        <v>0.58253999999999995</v>
      </c>
      <c r="F13" s="3">
        <f>$B$4*F3/10^6</f>
        <v>0.58253999999999995</v>
      </c>
      <c r="G13" s="3">
        <f>$B$4*G3/10^6</f>
        <v>0.58253999999999995</v>
      </c>
      <c r="H13" s="3">
        <f>$B$4*H3/10^6</f>
        <v>0.58253999999999995</v>
      </c>
      <c r="I13" s="3">
        <f>$B$4*I3/10^6</f>
        <v>0.58253999999999995</v>
      </c>
      <c r="J13" s="3">
        <f>$B$4*J3/10^6</f>
        <v>0.58253999999999995</v>
      </c>
      <c r="K13" s="3">
        <f>$B$4*K3/10^6</f>
        <v>0.58253999999999995</v>
      </c>
      <c r="L13" s="3">
        <f>$B$4*L3/10^6</f>
        <v>0.58253999999999995</v>
      </c>
      <c r="M13" s="3">
        <f>$B$4*M3/10^6</f>
        <v>0.58253999999999995</v>
      </c>
      <c r="N13" s="3">
        <f>$B$4*N3/10^6</f>
        <v>0.58253999999999995</v>
      </c>
      <c r="O13" s="3">
        <f>$B$4*O3/10^6</f>
        <v>0.58253999999999995</v>
      </c>
      <c r="P13" s="3">
        <f>$B$4*P3/10^6</f>
        <v>0.58253999999999995</v>
      </c>
      <c r="Q13" s="3">
        <f>$B$4*Q3/10^6</f>
        <v>0.58253999999999995</v>
      </c>
      <c r="R13" s="3">
        <f>$B$4*R3/10^6</f>
        <v>0.58253999999999995</v>
      </c>
      <c r="S13" s="3">
        <f>$B$4*S3/10^6</f>
        <v>0.58253999999999995</v>
      </c>
      <c r="T13" s="3">
        <f>$B$4*T3/10^6</f>
        <v>0.58253999999999995</v>
      </c>
      <c r="U13" s="3">
        <f>$B$4*U3/10^6</f>
        <v>0.58253999999999995</v>
      </c>
      <c r="V13" s="3">
        <f>$B$4*V3/10^6</f>
        <v>0.58253999999999995</v>
      </c>
      <c r="W13" s="3">
        <f>$B$4*W3/10^6</f>
        <v>0.58253999999999995</v>
      </c>
      <c r="X13" s="3">
        <f>$B$4*X3/10^6</f>
        <v>0.58253999999999995</v>
      </c>
    </row>
    <row r="14" spans="1:24" x14ac:dyDescent="0.35">
      <c r="D14" t="s">
        <v>5</v>
      </c>
      <c r="E14" s="3">
        <f>E10+E13</f>
        <v>6.5825399999999998</v>
      </c>
      <c r="F14" s="3">
        <f>F10+F13</f>
        <v>6.5825399999999998</v>
      </c>
      <c r="G14" s="3">
        <f>G10+G13</f>
        <v>6.5825399999999998</v>
      </c>
      <c r="H14" s="3">
        <f>H10+H13</f>
        <v>6.5825399999999998</v>
      </c>
      <c r="I14" s="3">
        <f>I10+I13</f>
        <v>6.5825399999999998</v>
      </c>
      <c r="J14" s="3">
        <f>J10+J13</f>
        <v>6.5825399999999998</v>
      </c>
      <c r="K14" s="3">
        <f>K10+K13</f>
        <v>6.5825399999999998</v>
      </c>
      <c r="L14" s="3">
        <f>L10+L13</f>
        <v>6.5825399999999998</v>
      </c>
      <c r="M14" s="3">
        <f>M10+M13</f>
        <v>6.5825399999999998</v>
      </c>
      <c r="N14" s="3">
        <f>N10+N13</f>
        <v>6.5825399999999998</v>
      </c>
      <c r="O14" s="3">
        <f>O10+O13</f>
        <v>6.5825399999999998</v>
      </c>
      <c r="P14" s="3">
        <f>P10+P13</f>
        <v>6.5825399999999998</v>
      </c>
      <c r="Q14" s="3">
        <f>Q10+Q13</f>
        <v>6.5825399999999998</v>
      </c>
      <c r="R14" s="3">
        <f>R10+R13</f>
        <v>6.5825399999999998</v>
      </c>
      <c r="S14" s="3">
        <f>S10+S13</f>
        <v>6.5825399999999998</v>
      </c>
      <c r="T14" s="3">
        <f>T10+T13</f>
        <v>6.5825399999999998</v>
      </c>
      <c r="U14" s="3">
        <f>U10+U13</f>
        <v>6.5825399999999998</v>
      </c>
      <c r="V14" s="3">
        <f>V10+V13</f>
        <v>6.5825399999999998</v>
      </c>
      <c r="W14" s="3">
        <f>W10+W13</f>
        <v>6.5825399999999998</v>
      </c>
      <c r="X14" s="3">
        <f>X10+X13</f>
        <v>6.5825399999999998</v>
      </c>
    </row>
    <row r="15" spans="1:24" x14ac:dyDescent="0.35">
      <c r="A15" t="s">
        <v>33</v>
      </c>
      <c r="B15">
        <f>(1-B7)*B6</f>
        <v>95.2</v>
      </c>
      <c r="D15" t="s">
        <v>6</v>
      </c>
      <c r="E15" s="3">
        <f>E9-E14</f>
        <v>24.467368221743129</v>
      </c>
      <c r="F15" s="3">
        <f>F9-F14</f>
        <v>24.463059150061525</v>
      </c>
      <c r="G15" s="3">
        <f>G9-G14</f>
        <v>24.458751802008599</v>
      </c>
      <c r="H15" s="3">
        <f>H9-H14</f>
        <v>24.454446176894898</v>
      </c>
      <c r="I15" s="3">
        <f>I9-I14</f>
        <v>24.450142274031229</v>
      </c>
      <c r="J15" s="3">
        <f>J9-J14</f>
        <v>24.445840092728716</v>
      </c>
      <c r="K15" s="3">
        <f>K9-K14</f>
        <v>24.441539632298721</v>
      </c>
      <c r="L15" s="3">
        <f>L9-L14</f>
        <v>24.437240892052898</v>
      </c>
      <c r="M15" s="3">
        <f>M9-M14</f>
        <v>24.432943871303181</v>
      </c>
      <c r="N15" s="3">
        <f>N9-N14</f>
        <v>24.428648569361755</v>
      </c>
      <c r="O15" s="3">
        <f>O9-O14</f>
        <v>24.4243549855411</v>
      </c>
      <c r="P15" s="3">
        <f>P9-P14</f>
        <v>24.420063119153987</v>
      </c>
      <c r="Q15" s="3">
        <f>Q9-Q14</f>
        <v>24.415772969513419</v>
      </c>
      <c r="R15" s="3">
        <f>R9-R14</f>
        <v>24.411484535932715</v>
      </c>
      <c r="S15" s="3">
        <f>S9-S14</f>
        <v>24.407197817725432</v>
      </c>
      <c r="T15" s="3">
        <f>T9-T14</f>
        <v>24.402912814205443</v>
      </c>
      <c r="U15" s="3">
        <f>U9-U14</f>
        <v>24.398629524686861</v>
      </c>
      <c r="V15" s="3">
        <f>V9-V14</f>
        <v>24.394347948484075</v>
      </c>
      <c r="W15" s="3">
        <f>W9-W14</f>
        <v>24.390068084911782</v>
      </c>
      <c r="X15" s="3">
        <f>X9-X14</f>
        <v>24.385789933284919</v>
      </c>
    </row>
    <row r="16" spans="1:24" x14ac:dyDescent="0.35">
      <c r="A16" t="s">
        <v>32</v>
      </c>
      <c r="B16">
        <f>E17*B7</f>
        <v>142.79999999999998</v>
      </c>
    </row>
    <row r="17" spans="1:24" x14ac:dyDescent="0.35">
      <c r="D17" t="s">
        <v>7</v>
      </c>
      <c r="E17">
        <f>B6</f>
        <v>238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</row>
    <row r="18" spans="1:24" x14ac:dyDescent="0.35">
      <c r="A18" t="s">
        <v>15</v>
      </c>
      <c r="B18">
        <f>0.08+0.15</f>
        <v>0.22999999999999998</v>
      </c>
      <c r="D18" t="s">
        <v>8</v>
      </c>
      <c r="E18" s="3">
        <f>B16</f>
        <v>142.79999999999998</v>
      </c>
      <c r="F18" s="3">
        <f>E21</f>
        <v>139.67950458005407</v>
      </c>
      <c r="G18" s="3">
        <f t="shared" ref="G18:X18" si="9">F21</f>
        <v>136.30936952651248</v>
      </c>
      <c r="H18" s="3">
        <f t="shared" si="9"/>
        <v>132.66962366868756</v>
      </c>
      <c r="I18" s="3">
        <f t="shared" si="9"/>
        <v>128.73869814223664</v>
      </c>
      <c r="J18" s="3">
        <f t="shared" si="9"/>
        <v>124.49329857366966</v>
      </c>
      <c r="K18" s="3">
        <f t="shared" si="9"/>
        <v>119.90826703961734</v>
      </c>
      <c r="L18" s="3">
        <f t="shared" si="9"/>
        <v>114.95643298284084</v>
      </c>
      <c r="M18" s="3">
        <f t="shared" si="9"/>
        <v>109.6084522015222</v>
      </c>
      <c r="N18" s="3">
        <f t="shared" si="9"/>
        <v>103.83263295769807</v>
      </c>
      <c r="O18" s="3">
        <f t="shared" si="9"/>
        <v>97.594748174368007</v>
      </c>
      <c r="P18" s="3">
        <f t="shared" si="9"/>
        <v>90.857832608371538</v>
      </c>
      <c r="Q18" s="3">
        <f t="shared" si="9"/>
        <v>83.581963797095355</v>
      </c>
      <c r="R18" s="3">
        <f t="shared" si="9"/>
        <v>75.724025480917078</v>
      </c>
      <c r="S18" s="3">
        <f t="shared" si="9"/>
        <v>67.237452099444539</v>
      </c>
      <c r="T18" s="3">
        <f t="shared" si="9"/>
        <v>58.071952847454199</v>
      </c>
      <c r="U18" s="3">
        <f t="shared" si="9"/>
        <v>48.173213655304622</v>
      </c>
      <c r="V18" s="3">
        <f t="shared" si="9"/>
        <v>37.482575327783081</v>
      </c>
      <c r="W18" s="3">
        <f t="shared" si="9"/>
        <v>25.93668593405982</v>
      </c>
      <c r="X18" s="3">
        <f t="shared" si="9"/>
        <v>13.467125388838699</v>
      </c>
    </row>
    <row r="19" spans="1:24" x14ac:dyDescent="0.35">
      <c r="D19" t="s">
        <v>9</v>
      </c>
      <c r="E19" s="3">
        <f>B16*$B$8</f>
        <v>11.423999999999999</v>
      </c>
      <c r="F19" s="3">
        <f t="shared" ref="F19:X19" si="10">F18*$B$8</f>
        <v>11.174360366404326</v>
      </c>
      <c r="G19" s="3">
        <f t="shared" si="10"/>
        <v>10.904749562120999</v>
      </c>
      <c r="H19" s="3">
        <f t="shared" si="10"/>
        <v>10.613569893495006</v>
      </c>
      <c r="I19" s="3">
        <f t="shared" si="10"/>
        <v>10.299095851378931</v>
      </c>
      <c r="J19" s="3">
        <f t="shared" si="10"/>
        <v>9.9594638858935731</v>
      </c>
      <c r="K19" s="3">
        <f t="shared" si="10"/>
        <v>9.5926613631693876</v>
      </c>
      <c r="L19" s="3">
        <f t="shared" si="10"/>
        <v>9.1965146386272671</v>
      </c>
      <c r="M19" s="3">
        <f t="shared" si="10"/>
        <v>8.768676176121776</v>
      </c>
      <c r="N19" s="3">
        <f t="shared" si="10"/>
        <v>8.3066106366158454</v>
      </c>
      <c r="O19" s="3">
        <f t="shared" si="10"/>
        <v>7.8075798539494405</v>
      </c>
      <c r="P19" s="3">
        <f t="shared" si="10"/>
        <v>7.2686266086697229</v>
      </c>
      <c r="Q19" s="3">
        <f t="shared" si="10"/>
        <v>6.6865571037676288</v>
      </c>
      <c r="R19" s="3">
        <f t="shared" si="10"/>
        <v>6.0579220384733663</v>
      </c>
      <c r="S19" s="3">
        <f t="shared" si="10"/>
        <v>5.3789961679555631</v>
      </c>
      <c r="T19" s="3">
        <f t="shared" si="10"/>
        <v>4.645756227796336</v>
      </c>
      <c r="U19" s="3">
        <f t="shared" si="10"/>
        <v>3.85385709242437</v>
      </c>
      <c r="V19" s="3">
        <f t="shared" si="10"/>
        <v>2.9986060262226464</v>
      </c>
      <c r="W19" s="3">
        <f t="shared" si="10"/>
        <v>2.0749348747247858</v>
      </c>
      <c r="X19" s="3">
        <f t="shared" si="10"/>
        <v>1.0773700311070959</v>
      </c>
    </row>
    <row r="20" spans="1:24" x14ac:dyDescent="0.35">
      <c r="D20" t="s">
        <v>10</v>
      </c>
      <c r="E20" s="5">
        <f t="shared" ref="E20:X20" si="11">PMT($B$8,20,-$B$16)</f>
        <v>14.544495419945907</v>
      </c>
      <c r="F20" s="5">
        <f t="shared" si="11"/>
        <v>14.544495419945907</v>
      </c>
      <c r="G20" s="5">
        <f t="shared" si="11"/>
        <v>14.544495419945907</v>
      </c>
      <c r="H20" s="5">
        <f t="shared" si="11"/>
        <v>14.544495419945907</v>
      </c>
      <c r="I20" s="5">
        <f t="shared" si="11"/>
        <v>14.544495419945907</v>
      </c>
      <c r="J20" s="5">
        <f t="shared" si="11"/>
        <v>14.544495419945907</v>
      </c>
      <c r="K20" s="5">
        <f t="shared" si="11"/>
        <v>14.544495419945907</v>
      </c>
      <c r="L20" s="5">
        <f t="shared" si="11"/>
        <v>14.544495419945907</v>
      </c>
      <c r="M20" s="5">
        <f t="shared" si="11"/>
        <v>14.544495419945907</v>
      </c>
      <c r="N20" s="5">
        <f t="shared" si="11"/>
        <v>14.544495419945907</v>
      </c>
      <c r="O20" s="5">
        <f t="shared" si="11"/>
        <v>14.544495419945907</v>
      </c>
      <c r="P20" s="5">
        <f t="shared" si="11"/>
        <v>14.544495419945907</v>
      </c>
      <c r="Q20" s="5">
        <f t="shared" si="11"/>
        <v>14.544495419945907</v>
      </c>
      <c r="R20" s="5">
        <f t="shared" si="11"/>
        <v>14.544495419945907</v>
      </c>
      <c r="S20" s="5">
        <f t="shared" si="11"/>
        <v>14.544495419945907</v>
      </c>
      <c r="T20" s="5">
        <f t="shared" si="11"/>
        <v>14.544495419945907</v>
      </c>
      <c r="U20" s="5">
        <f t="shared" si="11"/>
        <v>14.544495419945907</v>
      </c>
      <c r="V20" s="5">
        <f t="shared" si="11"/>
        <v>14.544495419945907</v>
      </c>
      <c r="W20" s="5">
        <f t="shared" si="11"/>
        <v>14.544495419945907</v>
      </c>
      <c r="X20" s="5">
        <f t="shared" si="11"/>
        <v>14.544495419945907</v>
      </c>
    </row>
    <row r="21" spans="1:24" x14ac:dyDescent="0.35">
      <c r="A21" t="s">
        <v>18</v>
      </c>
      <c r="B21" s="3">
        <v>34.808303322935991</v>
      </c>
      <c r="D21" t="s">
        <v>11</v>
      </c>
      <c r="E21" s="3">
        <f>E18+E19-E20</f>
        <v>139.67950458005407</v>
      </c>
      <c r="F21" s="3">
        <f>F18+F19-F20</f>
        <v>136.30936952651248</v>
      </c>
      <c r="G21" s="3">
        <f t="shared" ref="G21:X21" si="12">G18+G19-G20</f>
        <v>132.66962366868756</v>
      </c>
      <c r="H21" s="3">
        <f t="shared" si="12"/>
        <v>128.73869814223664</v>
      </c>
      <c r="I21" s="3">
        <f t="shared" si="12"/>
        <v>124.49329857366966</v>
      </c>
      <c r="J21" s="3">
        <f t="shared" si="12"/>
        <v>119.90826703961734</v>
      </c>
      <c r="K21" s="3">
        <f t="shared" si="12"/>
        <v>114.95643298284084</v>
      </c>
      <c r="L21" s="3">
        <f t="shared" si="12"/>
        <v>109.6084522015222</v>
      </c>
      <c r="M21" s="3">
        <f t="shared" si="12"/>
        <v>103.83263295769807</v>
      </c>
      <c r="N21" s="3">
        <f t="shared" si="12"/>
        <v>97.594748174368007</v>
      </c>
      <c r="O21" s="3">
        <f t="shared" si="12"/>
        <v>90.857832608371538</v>
      </c>
      <c r="P21" s="3">
        <f t="shared" si="12"/>
        <v>83.581963797095355</v>
      </c>
      <c r="Q21" s="3">
        <f t="shared" si="12"/>
        <v>75.724025480917078</v>
      </c>
      <c r="R21" s="3">
        <f t="shared" si="12"/>
        <v>67.237452099444539</v>
      </c>
      <c r="S21" s="3">
        <f t="shared" si="12"/>
        <v>58.071952847454199</v>
      </c>
      <c r="T21" s="3">
        <f t="shared" si="12"/>
        <v>48.173213655304622</v>
      </c>
      <c r="U21" s="3">
        <f t="shared" si="12"/>
        <v>37.482575327783081</v>
      </c>
      <c r="V21" s="3">
        <f t="shared" si="12"/>
        <v>25.93668593405982</v>
      </c>
      <c r="W21" s="3">
        <f t="shared" si="12"/>
        <v>13.467125388838699</v>
      </c>
      <c r="X21" s="3">
        <f t="shared" si="12"/>
        <v>-1.1191048088221578E-13</v>
      </c>
    </row>
    <row r="22" spans="1:24" x14ac:dyDescent="0.35">
      <c r="D22" t="s">
        <v>12</v>
      </c>
      <c r="E22" s="3">
        <f>E20-E19</f>
        <v>3.1204954199459074</v>
      </c>
      <c r="F22" s="3">
        <f t="shared" ref="F22:X22" si="13">F20-F19</f>
        <v>3.3701350535415813</v>
      </c>
      <c r="G22" s="3">
        <f t="shared" si="13"/>
        <v>3.6397458578249076</v>
      </c>
      <c r="H22" s="3">
        <f t="shared" si="13"/>
        <v>3.9309255264509009</v>
      </c>
      <c r="I22" s="3">
        <f t="shared" si="13"/>
        <v>4.2453995685669756</v>
      </c>
      <c r="J22" s="3">
        <f t="shared" si="13"/>
        <v>4.5850315340523338</v>
      </c>
      <c r="K22" s="3">
        <f t="shared" si="13"/>
        <v>4.9518340567765193</v>
      </c>
      <c r="L22" s="3">
        <f t="shared" si="13"/>
        <v>5.3479807813186397</v>
      </c>
      <c r="M22" s="3">
        <f t="shared" si="13"/>
        <v>5.7758192438241309</v>
      </c>
      <c r="N22" s="3">
        <f t="shared" si="13"/>
        <v>6.2378847833300615</v>
      </c>
      <c r="O22" s="3">
        <f t="shared" si="13"/>
        <v>6.7369155659964663</v>
      </c>
      <c r="P22" s="3">
        <f t="shared" si="13"/>
        <v>7.275868811276184</v>
      </c>
      <c r="Q22" s="3">
        <f t="shared" si="13"/>
        <v>7.8579383161782781</v>
      </c>
      <c r="R22" s="3">
        <f t="shared" si="13"/>
        <v>8.4865733814725406</v>
      </c>
      <c r="S22" s="3">
        <f t="shared" si="13"/>
        <v>9.1654992519903438</v>
      </c>
      <c r="T22" s="3">
        <f t="shared" si="13"/>
        <v>9.89873919214957</v>
      </c>
      <c r="U22" s="3">
        <f t="shared" si="13"/>
        <v>10.690638327521537</v>
      </c>
      <c r="V22" s="3">
        <f t="shared" si="13"/>
        <v>11.545889393723261</v>
      </c>
      <c r="W22" s="3">
        <f t="shared" si="13"/>
        <v>12.469560545221121</v>
      </c>
      <c r="X22" s="3">
        <f t="shared" si="13"/>
        <v>13.467125388838811</v>
      </c>
    </row>
    <row r="24" spans="1:24" x14ac:dyDescent="0.35">
      <c r="D24" t="s">
        <v>13</v>
      </c>
      <c r="E24" s="3">
        <f>E17/5*0.5</f>
        <v>23.8</v>
      </c>
      <c r="F24" s="3">
        <f>$E$17/5</f>
        <v>47.6</v>
      </c>
      <c r="G24" s="3">
        <f>$E$17/5</f>
        <v>47.6</v>
      </c>
      <c r="H24" s="3">
        <f>$E$17/5</f>
        <v>47.6</v>
      </c>
      <c r="I24" s="3">
        <f>$E$17/5</f>
        <v>47.6</v>
      </c>
      <c r="J24" s="3">
        <f>$E$17/5/2</f>
        <v>23.8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</row>
    <row r="25" spans="1:24" x14ac:dyDescent="0.35">
      <c r="D25" t="s">
        <v>14</v>
      </c>
      <c r="E25" s="3">
        <f>E15-E19-E24</f>
        <v>-10.756631778256871</v>
      </c>
      <c r="F25" s="3">
        <f t="shared" ref="F25:X25" si="14">F15-F19-F24</f>
        <v>-34.311301216342798</v>
      </c>
      <c r="G25" s="3">
        <f t="shared" si="14"/>
        <v>-34.0459977601124</v>
      </c>
      <c r="H25" s="3">
        <f t="shared" si="14"/>
        <v>-33.759123716600108</v>
      </c>
      <c r="I25" s="3">
        <f t="shared" si="14"/>
        <v>-33.448953577347702</v>
      </c>
      <c r="J25" s="3">
        <f t="shared" si="14"/>
        <v>-9.313623793164858</v>
      </c>
      <c r="K25" s="3">
        <f t="shared" si="14"/>
        <v>14.848878269129333</v>
      </c>
      <c r="L25" s="3">
        <f t="shared" si="14"/>
        <v>15.240726253425631</v>
      </c>
      <c r="M25" s="3">
        <f t="shared" si="14"/>
        <v>15.664267695181405</v>
      </c>
      <c r="N25" s="3">
        <f t="shared" si="14"/>
        <v>16.122037932745911</v>
      </c>
      <c r="O25" s="3">
        <f t="shared" si="14"/>
        <v>16.616775131591659</v>
      </c>
      <c r="P25" s="3">
        <f t="shared" si="14"/>
        <v>17.151436510484263</v>
      </c>
      <c r="Q25" s="3">
        <f t="shared" si="14"/>
        <v>17.72921586574579</v>
      </c>
      <c r="R25" s="3">
        <f t="shared" si="14"/>
        <v>18.35356249745935</v>
      </c>
      <c r="S25" s="3">
        <f t="shared" si="14"/>
        <v>19.028201649769869</v>
      </c>
      <c r="T25" s="3">
        <f t="shared" si="14"/>
        <v>19.757156586409106</v>
      </c>
      <c r="U25" s="3">
        <f t="shared" si="14"/>
        <v>20.544772432262491</v>
      </c>
      <c r="V25" s="3">
        <f t="shared" si="14"/>
        <v>21.395741922261429</v>
      </c>
      <c r="W25" s="3">
        <f t="shared" si="14"/>
        <v>22.315133210186996</v>
      </c>
      <c r="X25" s="3">
        <f t="shared" si="14"/>
        <v>23.308419902177821</v>
      </c>
    </row>
    <row r="26" spans="1:24" x14ac:dyDescent="0.35">
      <c r="D26" t="s">
        <v>35</v>
      </c>
      <c r="E26" s="3">
        <f t="shared" ref="E26:X26" si="15">E25*$B$18</f>
        <v>-2.4740253089990802</v>
      </c>
      <c r="F26" s="3">
        <f t="shared" si="15"/>
        <v>-7.891599279758843</v>
      </c>
      <c r="G26" s="3">
        <f t="shared" si="15"/>
        <v>-7.8305794848258516</v>
      </c>
      <c r="H26" s="3">
        <f t="shared" si="15"/>
        <v>-7.7645984548180245</v>
      </c>
      <c r="I26" s="3">
        <f t="shared" si="15"/>
        <v>-7.693259322789971</v>
      </c>
      <c r="J26" s="3">
        <f t="shared" si="15"/>
        <v>-2.1421334724279171</v>
      </c>
      <c r="K26" s="3">
        <f t="shared" si="15"/>
        <v>3.4152420018997462</v>
      </c>
      <c r="L26" s="3">
        <f t="shared" si="15"/>
        <v>3.5053670382878948</v>
      </c>
      <c r="M26" s="3">
        <f t="shared" si="15"/>
        <v>3.6027815698917229</v>
      </c>
      <c r="N26" s="3">
        <f t="shared" si="15"/>
        <v>3.7080687245315591</v>
      </c>
      <c r="O26" s="3">
        <f t="shared" si="15"/>
        <v>3.8218582802660812</v>
      </c>
      <c r="P26" s="3">
        <f t="shared" si="15"/>
        <v>3.9448303974113803</v>
      </c>
      <c r="Q26" s="3">
        <f t="shared" si="15"/>
        <v>4.0777196491215317</v>
      </c>
      <c r="R26" s="3">
        <f t="shared" si="15"/>
        <v>4.2213193744156499</v>
      </c>
      <c r="S26" s="3">
        <f t="shared" si="15"/>
        <v>4.3764863794470692</v>
      </c>
      <c r="T26" s="3">
        <f t="shared" si="15"/>
        <v>4.5441460148740944</v>
      </c>
      <c r="U26" s="3">
        <f t="shared" si="15"/>
        <v>4.7252976594203728</v>
      </c>
      <c r="V26" s="3">
        <f t="shared" si="15"/>
        <v>4.9210206421201281</v>
      </c>
      <c r="W26" s="3">
        <f t="shared" si="15"/>
        <v>5.1324806383430088</v>
      </c>
      <c r="X26" s="3">
        <f t="shared" si="15"/>
        <v>5.3609365775008984</v>
      </c>
    </row>
    <row r="27" spans="1:24" x14ac:dyDescent="0.35"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x14ac:dyDescent="0.35">
      <c r="D28" t="s">
        <v>34</v>
      </c>
      <c r="E28" s="3">
        <f>E15-E17+B16-E20-E26</f>
        <v>-82.803101889203717</v>
      </c>
      <c r="F28" s="3">
        <f>F15-F17-F20-F26</f>
        <v>17.810163009874461</v>
      </c>
      <c r="G28" s="3">
        <f t="shared" ref="G28:X28" si="16">G15-G17-G20-G26</f>
        <v>17.744835866888543</v>
      </c>
      <c r="H28" s="3">
        <f t="shared" si="16"/>
        <v>17.674549211767015</v>
      </c>
      <c r="I28" s="3">
        <f t="shared" si="16"/>
        <v>17.598906176875293</v>
      </c>
      <c r="J28" s="3">
        <f t="shared" si="16"/>
        <v>12.043478145210726</v>
      </c>
      <c r="K28" s="3">
        <f t="shared" si="16"/>
        <v>6.4818022104530675</v>
      </c>
      <c r="L28" s="3">
        <f t="shared" si="16"/>
        <v>6.3873784338190962</v>
      </c>
      <c r="M28" s="3">
        <f t="shared" si="16"/>
        <v>6.2856668814655503</v>
      </c>
      <c r="N28" s="3">
        <f t="shared" si="16"/>
        <v>6.176084424884289</v>
      </c>
      <c r="O28" s="3">
        <f t="shared" si="16"/>
        <v>6.0580012853291123</v>
      </c>
      <c r="P28" s="3">
        <f t="shared" si="16"/>
        <v>5.9307373017967002</v>
      </c>
      <c r="Q28" s="3">
        <f t="shared" si="16"/>
        <v>5.7935579004459807</v>
      </c>
      <c r="R28" s="3">
        <f t="shared" si="16"/>
        <v>5.6456697415711581</v>
      </c>
      <c r="S28" s="3">
        <f t="shared" si="16"/>
        <v>5.4862160183324562</v>
      </c>
      <c r="T28" s="3">
        <f t="shared" si="16"/>
        <v>5.3142713793854419</v>
      </c>
      <c r="U28" s="3">
        <f t="shared" si="16"/>
        <v>5.128836445320581</v>
      </c>
      <c r="V28" s="3">
        <f t="shared" si="16"/>
        <v>4.92883188641804</v>
      </c>
      <c r="W28" s="3">
        <f t="shared" si="16"/>
        <v>4.7130920266228662</v>
      </c>
      <c r="X28" s="3">
        <f t="shared" si="16"/>
        <v>4.4803579358381134</v>
      </c>
    </row>
    <row r="29" spans="1:24" x14ac:dyDescent="0.35">
      <c r="D29" t="s">
        <v>0</v>
      </c>
      <c r="E29" s="2">
        <f>IRR(E28:X28)</f>
        <v>0.11999992898206879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Solar</vt:lpstr>
      <vt:lpstr>NGCC</vt:lpstr>
      <vt:lpstr>Sheet1</vt:lpstr>
    </vt:vector>
  </TitlesOfParts>
  <Company>Information Services and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aleach</dc:creator>
  <cp:lastModifiedBy>aleach</cp:lastModifiedBy>
  <dcterms:created xsi:type="dcterms:W3CDTF">2023-03-20T00:51:48Z</dcterms:created>
  <dcterms:modified xsi:type="dcterms:W3CDTF">2023-05-30T18:47:50Z</dcterms:modified>
</cp:coreProperties>
</file>